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Assumptions" sheetId="2" state="visible" r:id="rId4"/>
    <sheet name="Revenue Model" sheetId="3" state="visible" r:id="rId5"/>
    <sheet name="Cost Structure" sheetId="4" state="visible" r:id="rId6"/>
    <sheet name="Cash Flow" sheetId="5" state="visible" r:id="rId7"/>
    <sheet name="Unit Economics" sheetId="6" state="visible" r:id="rId8"/>
    <sheet name="Dashboard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<sst xmlns="http://schemas.openxmlformats.org/spreadsheetml/2006/main" count="341" uniqueCount="216">
  <si>
    <t xml:space="preserve">FOUNDERPATH</t>
  </si>
  <si>
    <t xml:space="preserve">SaaS Financial Model Template</t>
  </si>
  <si>
    <t xml:space="preserve">A free 36-month model for bootstrapped SaaS founders — MRR, burn, runway and unit economics.</t>
  </si>
  <si>
    <t xml:space="preserve">HOW TO USE THIS MODEL</t>
  </si>
  <si>
    <t xml:space="preserve">1.  Assumptions</t>
  </si>
  <si>
    <t xml:space="preserve">Overwrite the teal input cells with your own numbers. That is the only tab you need to type in.</t>
  </si>
  <si>
    <t xml:space="preserve">2.  Revenue Model</t>
  </si>
  <si>
    <t xml:space="preserve">Watch new, expansion and churned MRR roll into Total MRR and ARR over 36 months.</t>
  </si>
  <si>
    <t xml:space="preserve">3.  Cost Structure</t>
  </si>
  <si>
    <t xml:space="preserve">COGS and hosting flex with revenue; opex is fixed monthly from your assumptions.</t>
  </si>
  <si>
    <t xml:space="preserve">4.  Cash Flow</t>
  </si>
  <si>
    <t xml:space="preserve">Burn, cash balance and months of runway. Check the month you turn cash-flow positive.</t>
  </si>
  <si>
    <t xml:space="preserve">5.  Unit Economics</t>
  </si>
  <si>
    <t xml:space="preserve">LTV, CAC, LTV/CAC, payback and net revenue retention, month by month.</t>
  </si>
  <si>
    <t xml:space="preserve">6.  Dashboard</t>
  </si>
  <si>
    <t xml:space="preserve">Year 1 / 2 / 3 snapshot — the tab to screenshot for an investor or lender update.</t>
  </si>
  <si>
    <t xml:space="preserve">COLOUR KEY</t>
  </si>
  <si>
    <t xml:space="preserve">Teal cell</t>
  </si>
  <si>
    <t xml:space="preserve">Your input. Type over it — everything else recalculates.</t>
  </si>
  <si>
    <t xml:space="preserve">Purple-tinted row</t>
  </si>
  <si>
    <t xml:space="preserve">Headline output (Total MRR, ARR, cash balance, gross margin).</t>
  </si>
  <si>
    <t xml:space="preserve">Plain cell</t>
  </si>
  <si>
    <t xml:space="preserve">Calculated for you. Editing it breaks the model.</t>
  </si>
  <si>
    <t xml:space="preserve">SAAS RULES OF THUMB (INDUSTRY CONVENTION, NOT TARGETS)</t>
  </si>
  <si>
    <t xml:space="preserve">LTV / CAC</t>
  </si>
  <si>
    <t xml:space="preserve">Above 3.0x is generally considered healthy; below 1.0x means each customer loses money.</t>
  </si>
  <si>
    <t xml:space="preserve">CAC payback</t>
  </si>
  <si>
    <t xml:space="preserve">Under 12 months for SMB SaaS; enterprise deals often run 18–24 months.</t>
  </si>
  <si>
    <t xml:space="preserve">Gross margin</t>
  </si>
  <si>
    <t xml:space="preserve">70–85% is typical for software once hosting and support are counted.</t>
  </si>
  <si>
    <t xml:space="preserve">Net revenue retention</t>
  </si>
  <si>
    <t xml:space="preserve">Above 100% means expansion outruns churn and you grow without new logos.</t>
  </si>
  <si>
    <t xml:space="preserve">Monthly churn</t>
  </si>
  <si>
    <t xml:space="preserve">Under 3% for SMB; 5% monthly churn implies a ~20-month customer lifetime.</t>
  </si>
  <si>
    <t xml:space="preserve">ASSUMPTIONS BAKED INTO THIS TEMPLATE</t>
  </si>
  <si>
    <t xml:space="preserve">Blended pricing</t>
  </si>
  <si>
    <t xml:space="preserve">Revenue uses the single blended price in Assumptions B12, not the three tiers. Set B12 to your actual weighted ARPA.</t>
  </si>
  <si>
    <t xml:space="preserve">Churn timing</t>
  </si>
  <si>
    <t xml:space="preserve">Churn applies to the prior month customer count; month 1 churns off starting MRR.</t>
  </si>
  <si>
    <t xml:space="preserve">Opex is flat</t>
  </si>
  <si>
    <t xml:space="preserve">Salaries, marketing, R&amp;D and G&amp;A stay constant across all 36 months. Step them up by editing the Cost Structure rows directly.</t>
  </si>
  <si>
    <t xml:space="preserve">LTV definition</t>
  </si>
  <si>
    <t xml:space="preserve">LTV = ARPA × lifetime × gross margin. Some investors quote LTV gross of margin, which is a larger number.</t>
  </si>
  <si>
    <t xml:space="preserve">Runway</t>
  </si>
  <si>
    <t xml:space="preserve">Shown as "Profitable" in any month cash flow is positive.</t>
  </si>
  <si>
    <t xml:space="preserve">Built by Founderpath  ·  more free tools at founderpath.com/free-tools</t>
  </si>
  <si>
    <t xml:space="preserve">For planning purposes only. This template is not financial, tax or investment advice, and projections are not a forecast of actual results.</t>
  </si>
  <si>
    <t xml:space="preserve">FOUNDERPATH   |   SaaS Financial Model  ·  Assumptions</t>
  </si>
  <si>
    <t xml:space="preserve">Type over the teal cells only. Every other tab recalculates from this one.</t>
  </si>
  <si>
    <t xml:space="preserve">BUSINESS MODEL</t>
  </si>
  <si>
    <t xml:space="preserve">Starting Month/Year</t>
  </si>
  <si>
    <t xml:space="preserve">Jan 2025</t>
  </si>
  <si>
    <t xml:space="preserve">When projections begin</t>
  </si>
  <si>
    <t xml:space="preserve">Projection Period (Months)</t>
  </si>
  <si>
    <t xml:space="preserve">Typically 36 months (3 years)</t>
  </si>
  <si>
    <t xml:space="preserve">PRICING</t>
  </si>
  <si>
    <t xml:space="preserve">Monthly Price - Basic Tier</t>
  </si>
  <si>
    <t xml:space="preserve">Price per user/month</t>
  </si>
  <si>
    <t xml:space="preserve">Monthly Price - Pro Tier</t>
  </si>
  <si>
    <t xml:space="preserve">Monthly Price - Enterprise Tier</t>
  </si>
  <si>
    <t xml:space="preserve">Average Monthly Price (Blended)</t>
  </si>
  <si>
    <t xml:space="preserve">Weighted average across tiers</t>
  </si>
  <si>
    <t xml:space="preserve">GROWTH ASSUMPTIONS</t>
  </si>
  <si>
    <t xml:space="preserve">Starting MRR</t>
  </si>
  <si>
    <t xml:space="preserve">Current monthly recurring revenue</t>
  </si>
  <si>
    <t xml:space="preserve">Monthly New Customer Growth Rate</t>
  </si>
  <si>
    <t xml:space="preserve">New customers per month (% growth)</t>
  </si>
  <si>
    <t xml:space="preserve">Monthly Churn Rate</t>
  </si>
  <si>
    <t xml:space="preserve">Customers lost per month (%)</t>
  </si>
  <si>
    <t xml:space="preserve">Expansion MRR Rate</t>
  </si>
  <si>
    <t xml:space="preserve">Monthly revenue expansion from existing (%)</t>
  </si>
  <si>
    <t xml:space="preserve">CUSTOMER ACQUISITION</t>
  </si>
  <si>
    <t xml:space="preserve">Customer Acquisition Cost (CAC)</t>
  </si>
  <si>
    <t xml:space="preserve">Cost to acquire one customer</t>
  </si>
  <si>
    <t xml:space="preserve">Sales Cycle (Days)</t>
  </si>
  <si>
    <t xml:space="preserve">Average days to close</t>
  </si>
  <si>
    <t xml:space="preserve">Free Trial Conversion Rate</t>
  </si>
  <si>
    <t xml:space="preserve">Trial to paid conversion</t>
  </si>
  <si>
    <t xml:space="preserve">COST STRUCTURE</t>
  </si>
  <si>
    <t xml:space="preserve">COGS (% of Revenue)</t>
  </si>
  <si>
    <t xml:space="preserve">Cost of goods sold</t>
  </si>
  <si>
    <t xml:space="preserve">Hosting/Infrastructure (% of Rev)</t>
  </si>
  <si>
    <t xml:space="preserve">Cloud/server costs</t>
  </si>
  <si>
    <t xml:space="preserve">OPERATING EXPENSES (Monthly)</t>
  </si>
  <si>
    <t xml:space="preserve">Salaries &amp; Benefits</t>
  </si>
  <si>
    <t xml:space="preserve">Total team compensation</t>
  </si>
  <si>
    <t xml:space="preserve">Marketing &amp; Sales</t>
  </si>
  <si>
    <t xml:space="preserve">Customer acquisition spend</t>
  </si>
  <si>
    <t xml:space="preserve">R&amp;D / Product Development</t>
  </si>
  <si>
    <t xml:space="preserve">Product improvement</t>
  </si>
  <si>
    <t xml:space="preserve">G&amp;A (General &amp; Administrative)</t>
  </si>
  <si>
    <t xml:space="preserve">Office, legal, accounting</t>
  </si>
  <si>
    <t xml:space="preserve">FUNDING</t>
  </si>
  <si>
    <t xml:space="preserve">Starting Cash Balance</t>
  </si>
  <si>
    <t xml:space="preserve">Cash in bank at start</t>
  </si>
  <si>
    <t xml:space="preserve">Planned Fundraise (if any)</t>
  </si>
  <si>
    <t xml:space="preserve">Additional funding during period</t>
  </si>
  <si>
    <t xml:space="preserve">Fundraise Month</t>
  </si>
  <si>
    <t xml:space="preserve">Month when funds arrive (0 = none)</t>
  </si>
  <si>
    <t xml:space="preserve">Free SaaS tools for bootstrapped founders  ·  founderpath.com/free-tools</t>
  </si>
  <si>
    <t xml:space="preserve">FOUNDERPATH   |   Revenue Model  ·  36-Month Projection</t>
  </si>
  <si>
    <t xml:space="preserve">Metric</t>
  </si>
  <si>
    <t xml:space="preserve">Month 1</t>
  </si>
  <si>
    <t xml:space="preserve">Month 2</t>
  </si>
  <si>
    <t xml:space="preserve">Month 3</t>
  </si>
  <si>
    <t xml:space="preserve">Month 4</t>
  </si>
  <si>
    <t xml:space="preserve">Month 5</t>
  </si>
  <si>
    <t xml:space="preserve">Month 6</t>
  </si>
  <si>
    <t xml:space="preserve">Month 7</t>
  </si>
  <si>
    <t xml:space="preserve">Month 8</t>
  </si>
  <si>
    <t xml:space="preserve">Month 9</t>
  </si>
  <si>
    <t xml:space="preserve">Month 10</t>
  </si>
  <si>
    <t xml:space="preserve">Month 11</t>
  </si>
  <si>
    <t xml:space="preserve">Month 12</t>
  </si>
  <si>
    <t xml:space="preserve">Month 13</t>
  </si>
  <si>
    <t xml:space="preserve">Month 14</t>
  </si>
  <si>
    <t xml:space="preserve">Month 15</t>
  </si>
  <si>
    <t xml:space="preserve">Month 16</t>
  </si>
  <si>
    <t xml:space="preserve">Month 17</t>
  </si>
  <si>
    <t xml:space="preserve">Month 18</t>
  </si>
  <si>
    <t xml:space="preserve">Month 19</t>
  </si>
  <si>
    <t xml:space="preserve">Month 20</t>
  </si>
  <si>
    <t xml:space="preserve">Month 21</t>
  </si>
  <si>
    <t xml:space="preserve">Month 22</t>
  </si>
  <si>
    <t xml:space="preserve">Month 23</t>
  </si>
  <si>
    <t xml:space="preserve">Month 24</t>
  </si>
  <si>
    <t xml:space="preserve">Month 25</t>
  </si>
  <si>
    <t xml:space="preserve">Month 26</t>
  </si>
  <si>
    <t xml:space="preserve">Month 27</t>
  </si>
  <si>
    <t xml:space="preserve">Month 28</t>
  </si>
  <si>
    <t xml:space="preserve">Month 29</t>
  </si>
  <si>
    <t xml:space="preserve">Month 30</t>
  </si>
  <si>
    <t xml:space="preserve">Month 31</t>
  </si>
  <si>
    <t xml:space="preserve">Month 32</t>
  </si>
  <si>
    <t xml:space="preserve">Month 33</t>
  </si>
  <si>
    <t xml:space="preserve">Month 34</t>
  </si>
  <si>
    <t xml:space="preserve">Month 35</t>
  </si>
  <si>
    <t xml:space="preserve">Month 36</t>
  </si>
  <si>
    <t xml:space="preserve">NEW CUSTOMERS</t>
  </si>
  <si>
    <t xml:space="preserve">New Customers Added</t>
  </si>
  <si>
    <t xml:space="preserve">Churned Customers</t>
  </si>
  <si>
    <t xml:space="preserve">Net New Customers</t>
  </si>
  <si>
    <t xml:space="preserve">Total Customers</t>
  </si>
  <si>
    <t xml:space="preserve">MRR BREAKDOWN</t>
  </si>
  <si>
    <t xml:space="preserve">New MRR</t>
  </si>
  <si>
    <t xml:space="preserve">Expansion MRR</t>
  </si>
  <si>
    <t xml:space="preserve">Churned MRR</t>
  </si>
  <si>
    <t xml:space="preserve">Net New MRR</t>
  </si>
  <si>
    <t xml:space="preserve">Total MRR</t>
  </si>
  <si>
    <t xml:space="preserve">REVENUE</t>
  </si>
  <si>
    <t xml:space="preserve">Monthly Revenue</t>
  </si>
  <si>
    <t xml:space="preserve">YTD Revenue</t>
  </si>
  <si>
    <t xml:space="preserve">ARR (Annual Run Rate)</t>
  </si>
  <si>
    <t xml:space="preserve">FOUNDERPATH   |   Cost Structure  ·  Cost of Revenue &amp; Opex</t>
  </si>
  <si>
    <t xml:space="preserve">Cost category</t>
  </si>
  <si>
    <t xml:space="preserve">COST OF REVENUE</t>
  </si>
  <si>
    <t xml:space="preserve">COGS</t>
  </si>
  <si>
    <t xml:space="preserve">Hosting &amp; Infrastructure</t>
  </si>
  <si>
    <t xml:space="preserve">Total Cost of Revenue</t>
  </si>
  <si>
    <t xml:space="preserve">OPERATING EXPENSES</t>
  </si>
  <si>
    <t xml:space="preserve">R&amp;D / Product</t>
  </si>
  <si>
    <t xml:space="preserve">G&amp;A</t>
  </si>
  <si>
    <t xml:space="preserve">Total Operating Expenses</t>
  </si>
  <si>
    <t xml:space="preserve">TOTAL COSTS</t>
  </si>
  <si>
    <t xml:space="preserve">Total Monthly Costs</t>
  </si>
  <si>
    <t xml:space="preserve">GROSS MARGIN</t>
  </si>
  <si>
    <t xml:space="preserve">Gross Profit</t>
  </si>
  <si>
    <t xml:space="preserve">Gross Margin %</t>
  </si>
  <si>
    <t xml:space="preserve">FOUNDERPATH   |   Cash Flow  ·  Burn &amp; Runway</t>
  </si>
  <si>
    <t xml:space="preserve">Cash flow item</t>
  </si>
  <si>
    <t xml:space="preserve">CASH IN</t>
  </si>
  <si>
    <t xml:space="preserve">Revenue</t>
  </si>
  <si>
    <t xml:space="preserve">Fundraising</t>
  </si>
  <si>
    <t xml:space="preserve">Total Cash In</t>
  </si>
  <si>
    <t xml:space="preserve">CASH OUT</t>
  </si>
  <si>
    <t xml:space="preserve">Total Costs</t>
  </si>
  <si>
    <t xml:space="preserve">Total Cash Out</t>
  </si>
  <si>
    <t xml:space="preserve">NET CASH FLOW</t>
  </si>
  <si>
    <t xml:space="preserve">Monthly Burn/Profit</t>
  </si>
  <si>
    <t xml:space="preserve">Cash Balance</t>
  </si>
  <si>
    <t xml:space="preserve">RUNWAY ANALYSIS</t>
  </si>
  <si>
    <t xml:space="preserve">Months of Runway</t>
  </si>
  <si>
    <t xml:space="preserve">Break-even Status</t>
  </si>
  <si>
    <t xml:space="preserve">FOUNDERPATH   |   Unit Economics  ·  LTV, CAC &amp; Retention</t>
  </si>
  <si>
    <t xml:space="preserve">CUSTOMER METRICS</t>
  </si>
  <si>
    <t xml:space="preserve">Average Revenue Per Account (ARPA)</t>
  </si>
  <si>
    <t xml:space="preserve">Customer Lifetime (months)</t>
  </si>
  <si>
    <t xml:space="preserve">Customer Lifetime Value (LTV)</t>
  </si>
  <si>
    <t xml:space="preserve">ACQUISITION METRICS</t>
  </si>
  <si>
    <t xml:space="preserve">LTV / CAC Ratio</t>
  </si>
  <si>
    <t xml:space="preserve">CAC Payback Period (months)</t>
  </si>
  <si>
    <t xml:space="preserve">EFFICIENCY METRICS</t>
  </si>
  <si>
    <t xml:space="preserve">MRR Growth Rate</t>
  </si>
  <si>
    <t xml:space="preserve">Net Revenue Retention</t>
  </si>
  <si>
    <t xml:space="preserve">MAGIC NUMBER</t>
  </si>
  <si>
    <t xml:space="preserve">Sales Efficiency (Magic Number)</t>
  </si>
  <si>
    <t xml:space="preserve">FOUNDERPATH   |   Executive Dashboard</t>
  </si>
  <si>
    <t xml:space="preserve">KEY PERFORMANCE INDICATORS</t>
  </si>
  <si>
    <t xml:space="preserve">Year 1  (Month 12)</t>
  </si>
  <si>
    <t xml:space="preserve">Year 2  (Month 24)</t>
  </si>
  <si>
    <t xml:space="preserve">Year 3  (Month 36)</t>
  </si>
  <si>
    <t xml:space="preserve">MRR</t>
  </si>
  <si>
    <t xml:space="preserve">ARR</t>
  </si>
  <si>
    <t xml:space="preserve">Monthly Costs</t>
  </si>
  <si>
    <t xml:space="preserve">Monthly Profit/Burn</t>
  </si>
  <si>
    <t xml:space="preserve">Runway (months)</t>
  </si>
  <si>
    <t xml:space="preserve">LTV</t>
  </si>
  <si>
    <t xml:space="preserve">CAC</t>
  </si>
  <si>
    <t xml:space="preserve">CAC Payback (months)</t>
  </si>
  <si>
    <t xml:space="preserve">INVESTMENT HIGHLIGHTS</t>
  </si>
  <si>
    <t xml:space="preserve">3-year ARR (month 36 run rate)</t>
  </si>
  <si>
    <t xml:space="preserve">Break-even month (first cash-positive month)</t>
  </si>
  <si>
    <t xml:space="preserve">Peak cash need (lowest cash balance)</t>
  </si>
  <si>
    <t xml:space="preserve">Year 3 gross margin</t>
  </si>
  <si>
    <t xml:space="preserve">Raising capital against this plan?  Founderpath funds bootstrapped SaaS founders without taking equity.
See what your ARR is worth at founderpath.com  ·  More free tools at founderpath.com/free-tools</t>
  </si>
  <si>
    <t xml:space="preserve">For planning purposes only — not financial advice.  ·  founderpath.com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</si>
</sst>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#,##0;\(#,##0\);\–"/>
    <numFmt numFmtId="167" formatCode="\$#,##0;&quot;($&quot;#,##0\);\–"/>
    <numFmt numFmtId="168" formatCode="0.0%;\(0.0%\);\–"/>
    <numFmt numFmtId="169" formatCode="[&gt;=999]&quot;Profitable&quot;;#,##0.0"/>
    <numFmt numFmtId="170" formatCode="#,##0.0;\(#,##0.0\);\–"/>
    <numFmt numFmtId="171" formatCode="0.0\x;\(0.0&quot;x)&quot;;\–"/>
    <numFmt numFmtId="172" formatCode="#,##0;;\–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0"/>
      <charset val="1"/>
    </font>
    <font>
      <b val="true"/>
      <sz val="18"/>
      <color rgb="FF1A1A2E"/>
      <name val="Arial"/>
      <family val="0"/>
      <charset val="1"/>
    </font>
    <font>
      <sz val="10"/>
      <color rgb="FF6B7280"/>
      <name val="Arial"/>
      <family val="0"/>
      <charset val="1"/>
    </font>
    <font>
      <b val="true"/>
      <sz val="10"/>
      <color rgb="FF1A1A2E"/>
      <name val="Arial"/>
      <family val="0"/>
      <charset val="1"/>
    </font>
    <font>
      <sz val="10"/>
      <color rgb="FF1A1A2E"/>
      <name val="Arial"/>
      <family val="0"/>
      <charset val="1"/>
    </font>
    <font>
      <b val="true"/>
      <sz val="10"/>
      <color rgb="FF443DD8"/>
      <name val="Arial"/>
      <family val="0"/>
      <charset val="1"/>
    </font>
    <font>
      <i val="true"/>
      <sz val="8"/>
      <color rgb="FF6B7280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i val="true"/>
      <sz val="9"/>
      <color rgb="FF6B7280"/>
      <name val="Arial"/>
      <family val="0"/>
      <charset val="1"/>
    </font>
    <font>
      <b val="true"/>
      <sz val="9"/>
      <color rgb="FF1A1A2E"/>
      <name val="Arial"/>
      <family val="0"/>
      <charset val="1"/>
    </font>
    <font>
      <sz val="9"/>
      <color rgb="FF6B7280"/>
      <name val="Arial"/>
      <family val="0"/>
      <charset val="1"/>
    </font>
    <font>
      <b val="true"/>
      <sz val="9"/>
      <color rgb="FF443DD8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443DD8"/>
        <bgColor rgb="FF3366FF"/>
      </patternFill>
    </fill>
    <fill>
      <patternFill patternType="solid">
        <fgColor rgb="FFB2BBEB"/>
        <bgColor rgb="FF99CCFF"/>
      </patternFill>
    </fill>
    <fill>
      <patternFill patternType="solid">
        <fgColor rgb="FFB6E7EB"/>
        <bgColor rgb="FFD6DBEA"/>
      </patternFill>
    </fill>
    <fill>
      <patternFill patternType="solid">
        <fgColor rgb="FFE8ECF8"/>
        <bgColor rgb="FFD6DBEA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44B8B6"/>
      </bottom>
      <diagonal/>
    </border>
    <border diagonalUp="false" diagonalDown="false">
      <left style="thin">
        <color rgb="FF44B8B6"/>
      </left>
      <right style="thin">
        <color rgb="FF44B8B6"/>
      </right>
      <top style="thin">
        <color rgb="FF44B8B6"/>
      </top>
      <bottom style="thin">
        <color rgb="FF44B8B6"/>
      </bottom>
      <diagonal/>
    </border>
    <border diagonalUp="false" diagonalDown="false">
      <left/>
      <right/>
      <top style="medium">
        <color rgb="FF44B8B6"/>
      </top>
      <bottom/>
      <diagonal/>
    </border>
    <border diagonalUp="false" diagonalDown="false">
      <left/>
      <right/>
      <top style="thin">
        <color rgb="FFB2BBEB"/>
      </top>
      <bottom style="thin">
        <color rgb="FFB2BBEB"/>
      </bottom>
      <diagonal/>
    </border>
    <border diagonalUp="false" diagonalDown="false">
      <left/>
      <right style="thin">
        <color rgb="FFB2BBEB"/>
      </right>
      <top style="thin">
        <color rgb="FFB2BBEB"/>
      </top>
      <bottom style="thin">
        <color rgb="FFB2BBEB"/>
      </bottom>
      <diagonal/>
    </border>
    <border diagonalUp="false" diagonalDown="false">
      <left/>
      <right style="thin">
        <color rgb="FFB2BBEB"/>
      </right>
      <top/>
      <bottom/>
      <diagonal/>
    </border>
    <border diagonalUp="false" diagonalDown="false">
      <left/>
      <right/>
      <top/>
      <bottom style="hair">
        <color rgb="FFD6DBEA"/>
      </bottom>
      <diagonal/>
    </border>
    <border diagonalUp="false" diagonalDown="false">
      <left/>
      <right style="thin">
        <color rgb="FFB2BBEB"/>
      </right>
      <top/>
      <bottom style="hair">
        <color rgb="FFD6DBEA"/>
      </bottom>
      <diagonal/>
    </border>
    <border diagonalUp="false" diagonalDown="false">
      <left/>
      <right/>
      <top style="thin">
        <color rgb="FFB2BBEB"/>
      </top>
      <bottom style="hair">
        <color rgb="FFD6DBEA"/>
      </bottom>
      <diagonal/>
    </border>
    <border diagonalUp="false" diagonalDown="false">
      <left/>
      <right style="thin">
        <color rgb="FFB2BBEB"/>
      </right>
      <top style="thin">
        <color rgb="FFB2BBEB"/>
      </top>
      <bottom style="hair">
        <color rgb="FFD6DBE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center" textRotation="0" wrapText="false" indent="1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false" indent="1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8" fillId="5" borderId="2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1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13" fillId="3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13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1" shrinkToFit="false"/>
      <protection locked="true" hidden="false"/>
    </xf>
    <xf numFmtId="166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5" fillId="5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5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8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7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9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9" fillId="5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9" fillId="5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9" fillId="5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9" fillId="5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8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8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8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8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9" fillId="5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9" fillId="5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8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8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8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8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2" fontId="7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5" borderId="3" xfId="0" applyFont="true" applyBorder="true" applyAlignment="true" applyProtection="false">
      <alignment horizontal="left" vertical="center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BEB"/>
      <rgbColor rgb="FF808080"/>
      <rgbColor rgb="FF9999FF"/>
      <rgbColor rgb="FF993366"/>
      <rgbColor rgb="FFFFFFCC"/>
      <rgbColor rgb="FFE8ECF8"/>
      <rgbColor rgb="FF660066"/>
      <rgbColor rgb="FFFF8080"/>
      <rgbColor rgb="FF0066CC"/>
      <rgbColor rgb="FFD6DBE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6E7EB"/>
      <rgbColor rgb="FFCCFFCC"/>
      <rgbColor rgb="FFFFFF99"/>
      <rgbColor rgb="FF99CCFF"/>
      <rgbColor rgb="FFFF99CC"/>
      <rgbColor rgb="FFCC99FF"/>
      <rgbColor rgb="FFFFCC99"/>
      <rgbColor rgb="FF3366FF"/>
      <rgbColor rgb="FF44B8B6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03300"/>
      <rgbColor rgb="FF333300"/>
      <rgbColor rgb="FF993300"/>
      <rgbColor rgb="FF993366"/>
      <rgbColor rgb="FF443DD8"/>
      <rgbColor rgb="FF1A1A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3DD8"/>
    <pageSetUpPr fitToPage="false"/>
  </sheetPr>
  <dimension ref="A1:D3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3" min="3" style="0" width="66"/>
    <col collapsed="false" customWidth="true" hidden="false" outlineLevel="0" max="4" min="4" style="0" width="3"/>
  </cols>
  <sheetData>
    <row r="1" customFormat="false" ht="45.75" hidden="false" customHeight="true" outlineLevel="0" collapsed="false">
      <c r="A1" s="1" t="s">
        <v>0</v>
      </c>
      <c r="B1" s="1"/>
      <c r="C1" s="1"/>
      <c r="D1" s="1"/>
    </row>
    <row r="3" customFormat="false" ht="25.5" hidden="false" customHeight="true" outlineLevel="0" collapsed="false">
      <c r="B3" s="2" t="s">
        <v>1</v>
      </c>
      <c r="C3" s="2"/>
    </row>
    <row r="4" customFormat="false" ht="15" hidden="false" customHeight="false" outlineLevel="0" collapsed="false">
      <c r="B4" s="3" t="s">
        <v>2</v>
      </c>
      <c r="C4" s="3"/>
    </row>
    <row r="6" customFormat="false" ht="21.75" hidden="false" customHeight="true" outlineLevel="0" collapsed="false">
      <c r="B6" s="4" t="s">
        <v>3</v>
      </c>
      <c r="C6" s="5"/>
    </row>
    <row r="7" customFormat="false" ht="16.5" hidden="false" customHeight="true" outlineLevel="0" collapsed="false">
      <c r="B7" s="6" t="s">
        <v>4</v>
      </c>
      <c r="C7" s="7" t="s">
        <v>5</v>
      </c>
    </row>
    <row r="8" customFormat="false" ht="16.5" hidden="false" customHeight="true" outlineLevel="0" collapsed="false">
      <c r="B8" s="6" t="s">
        <v>6</v>
      </c>
      <c r="C8" s="7" t="s">
        <v>7</v>
      </c>
    </row>
    <row r="9" customFormat="false" ht="16.5" hidden="false" customHeight="true" outlineLevel="0" collapsed="false">
      <c r="B9" s="6" t="s">
        <v>8</v>
      </c>
      <c r="C9" s="7" t="s">
        <v>9</v>
      </c>
    </row>
    <row r="10" customFormat="false" ht="16.5" hidden="false" customHeight="true" outlineLevel="0" collapsed="false">
      <c r="B10" s="6" t="s">
        <v>10</v>
      </c>
      <c r="C10" s="7" t="s">
        <v>11</v>
      </c>
    </row>
    <row r="11" customFormat="false" ht="16.5" hidden="false" customHeight="true" outlineLevel="0" collapsed="false">
      <c r="B11" s="6" t="s">
        <v>12</v>
      </c>
      <c r="C11" s="7" t="s">
        <v>13</v>
      </c>
    </row>
    <row r="12" customFormat="false" ht="16.5" hidden="false" customHeight="true" outlineLevel="0" collapsed="false">
      <c r="B12" s="6" t="s">
        <v>14</v>
      </c>
      <c r="C12" s="7" t="s">
        <v>15</v>
      </c>
    </row>
    <row r="15" customFormat="false" ht="21.75" hidden="false" customHeight="true" outlineLevel="0" collapsed="false">
      <c r="B15" s="4" t="s">
        <v>16</v>
      </c>
      <c r="C15" s="5"/>
    </row>
    <row r="16" customFormat="false" ht="16.5" hidden="false" customHeight="true" outlineLevel="0" collapsed="false">
      <c r="B16" s="8" t="s">
        <v>17</v>
      </c>
      <c r="C16" s="7" t="s">
        <v>18</v>
      </c>
    </row>
    <row r="17" customFormat="false" ht="16.5" hidden="false" customHeight="true" outlineLevel="0" collapsed="false">
      <c r="B17" s="9" t="s">
        <v>19</v>
      </c>
      <c r="C17" s="7" t="s">
        <v>20</v>
      </c>
    </row>
    <row r="18" customFormat="false" ht="16.5" hidden="false" customHeight="true" outlineLevel="0" collapsed="false">
      <c r="B18" s="10" t="s">
        <v>21</v>
      </c>
      <c r="C18" s="7" t="s">
        <v>22</v>
      </c>
    </row>
    <row r="20" customFormat="false" ht="21.75" hidden="false" customHeight="true" outlineLevel="0" collapsed="false">
      <c r="B20" s="4" t="s">
        <v>23</v>
      </c>
      <c r="C20" s="5"/>
    </row>
    <row r="21" customFormat="false" ht="16.5" hidden="false" customHeight="true" outlineLevel="0" collapsed="false">
      <c r="B21" s="6" t="s">
        <v>24</v>
      </c>
      <c r="C21" s="7" t="s">
        <v>25</v>
      </c>
    </row>
    <row r="22" customFormat="false" ht="16.5" hidden="false" customHeight="true" outlineLevel="0" collapsed="false">
      <c r="B22" s="6" t="s">
        <v>26</v>
      </c>
      <c r="C22" s="7" t="s">
        <v>27</v>
      </c>
    </row>
    <row r="23" customFormat="false" ht="16.5" hidden="false" customHeight="true" outlineLevel="0" collapsed="false">
      <c r="B23" s="6" t="s">
        <v>28</v>
      </c>
      <c r="C23" s="7" t="s">
        <v>29</v>
      </c>
    </row>
    <row r="24" customFormat="false" ht="16.5" hidden="false" customHeight="true" outlineLevel="0" collapsed="false">
      <c r="B24" s="6" t="s">
        <v>30</v>
      </c>
      <c r="C24" s="7" t="s">
        <v>31</v>
      </c>
    </row>
    <row r="25" customFormat="false" ht="16.5" hidden="false" customHeight="true" outlineLevel="0" collapsed="false">
      <c r="B25" s="6" t="s">
        <v>32</v>
      </c>
      <c r="C25" s="7" t="s">
        <v>33</v>
      </c>
    </row>
    <row r="27" customFormat="false" ht="21.75" hidden="false" customHeight="true" outlineLevel="0" collapsed="false">
      <c r="B27" s="4" t="s">
        <v>34</v>
      </c>
      <c r="C27" s="5"/>
    </row>
    <row r="28" customFormat="false" ht="25.5" hidden="false" customHeight="true" outlineLevel="0" collapsed="false">
      <c r="B28" s="6" t="s">
        <v>35</v>
      </c>
      <c r="C28" s="7" t="s">
        <v>36</v>
      </c>
    </row>
    <row r="29" customFormat="false" ht="25.5" hidden="false" customHeight="true" outlineLevel="0" collapsed="false">
      <c r="B29" s="6" t="s">
        <v>37</v>
      </c>
      <c r="C29" s="7" t="s">
        <v>38</v>
      </c>
    </row>
    <row r="30" customFormat="false" ht="25.5" hidden="false" customHeight="true" outlineLevel="0" collapsed="false">
      <c r="B30" s="6" t="s">
        <v>39</v>
      </c>
      <c r="C30" s="7" t="s">
        <v>40</v>
      </c>
    </row>
    <row r="31" customFormat="false" ht="25.5" hidden="false" customHeight="true" outlineLevel="0" collapsed="false">
      <c r="B31" s="6" t="s">
        <v>41</v>
      </c>
      <c r="C31" s="7" t="s">
        <v>42</v>
      </c>
    </row>
    <row r="32" customFormat="false" ht="25.5" hidden="false" customHeight="true" outlineLevel="0" collapsed="false">
      <c r="B32" s="6" t="s">
        <v>43</v>
      </c>
      <c r="C32" s="7" t="s">
        <v>44</v>
      </c>
    </row>
    <row r="34" customFormat="false" ht="7.5" hidden="false" customHeight="true" outlineLevel="0" collapsed="false"/>
    <row r="35" customFormat="false" ht="15" hidden="false" customHeight="false" outlineLevel="0" collapsed="false">
      <c r="B35" s="11" t="s">
        <v>45</v>
      </c>
      <c r="C35" s="11"/>
    </row>
    <row r="36" customFormat="false" ht="15" hidden="false" customHeight="false" outlineLevel="0" collapsed="false">
      <c r="B36" s="12" t="s">
        <v>46</v>
      </c>
      <c r="C36" s="12"/>
    </row>
  </sheetData>
  <mergeCells count="5">
    <mergeCell ref="A1:D1"/>
    <mergeCell ref="B3:C3"/>
    <mergeCell ref="B4:C4"/>
    <mergeCell ref="B35:C35"/>
    <mergeCell ref="B36:C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B8B6"/>
    <pageSetUpPr fitToPage="false"/>
  </sheetPr>
  <dimension ref="A1:C4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16"/>
    <col collapsed="false" customWidth="true" hidden="false" outlineLevel="0" max="3" min="3" style="0" width="44"/>
  </cols>
  <sheetData>
    <row r="1" customFormat="false" ht="30" hidden="false" customHeight="true" outlineLevel="0" collapsed="false">
      <c r="A1" s="13" t="s">
        <v>47</v>
      </c>
      <c r="B1" s="13"/>
      <c r="C1" s="13"/>
    </row>
    <row r="2" customFormat="false" ht="18" hidden="false" customHeight="true" outlineLevel="0" collapsed="false">
      <c r="A2" s="14" t="s">
        <v>48</v>
      </c>
      <c r="B2" s="14"/>
      <c r="C2" s="14"/>
    </row>
    <row r="3" customFormat="false" ht="6" hidden="false" customHeight="true" outlineLevel="0" collapsed="false"/>
    <row r="4" customFormat="false" ht="18" hidden="false" customHeight="true" outlineLevel="0" collapsed="false">
      <c r="A4" s="15" t="s">
        <v>49</v>
      </c>
      <c r="B4" s="16"/>
      <c r="C4" s="16"/>
    </row>
    <row r="5" customFormat="false" ht="16.5" hidden="false" customHeight="true" outlineLevel="0" collapsed="false">
      <c r="A5" s="10" t="s">
        <v>50</v>
      </c>
      <c r="B5" s="17" t="s">
        <v>51</v>
      </c>
      <c r="C5" s="18" t="s">
        <v>52</v>
      </c>
    </row>
    <row r="6" customFormat="false" ht="16.5" hidden="false" customHeight="true" outlineLevel="0" collapsed="false">
      <c r="A6" s="10" t="s">
        <v>53</v>
      </c>
      <c r="B6" s="19" t="n">
        <v>36</v>
      </c>
      <c r="C6" s="18" t="s">
        <v>54</v>
      </c>
    </row>
    <row r="7" customFormat="false" ht="6" hidden="false" customHeight="true" outlineLevel="0" collapsed="false"/>
    <row r="8" customFormat="false" ht="18" hidden="false" customHeight="true" outlineLevel="0" collapsed="false">
      <c r="A8" s="15" t="s">
        <v>55</v>
      </c>
      <c r="B8" s="16"/>
      <c r="C8" s="16"/>
    </row>
    <row r="9" customFormat="false" ht="16.5" hidden="false" customHeight="true" outlineLevel="0" collapsed="false">
      <c r="A9" s="10" t="s">
        <v>56</v>
      </c>
      <c r="B9" s="20" t="n">
        <v>49</v>
      </c>
      <c r="C9" s="18" t="s">
        <v>57</v>
      </c>
    </row>
    <row r="10" customFormat="false" ht="16.5" hidden="false" customHeight="true" outlineLevel="0" collapsed="false">
      <c r="A10" s="10" t="s">
        <v>58</v>
      </c>
      <c r="B10" s="20" t="n">
        <v>99</v>
      </c>
      <c r="C10" s="18" t="s">
        <v>57</v>
      </c>
    </row>
    <row r="11" customFormat="false" ht="16.5" hidden="false" customHeight="true" outlineLevel="0" collapsed="false">
      <c r="A11" s="10" t="s">
        <v>59</v>
      </c>
      <c r="B11" s="20" t="n">
        <v>299</v>
      </c>
      <c r="C11" s="18" t="s">
        <v>57</v>
      </c>
    </row>
    <row r="12" customFormat="false" ht="16.5" hidden="false" customHeight="true" outlineLevel="0" collapsed="false">
      <c r="A12" s="10" t="s">
        <v>60</v>
      </c>
      <c r="B12" s="20" t="n">
        <v>99</v>
      </c>
      <c r="C12" s="18" t="s">
        <v>61</v>
      </c>
    </row>
    <row r="13" customFormat="false" ht="6" hidden="false" customHeight="true" outlineLevel="0" collapsed="false"/>
    <row r="14" customFormat="false" ht="18" hidden="false" customHeight="true" outlineLevel="0" collapsed="false">
      <c r="A14" s="15" t="s">
        <v>62</v>
      </c>
      <c r="B14" s="16"/>
      <c r="C14" s="16"/>
    </row>
    <row r="15" customFormat="false" ht="16.5" hidden="false" customHeight="true" outlineLevel="0" collapsed="false">
      <c r="A15" s="10" t="s">
        <v>63</v>
      </c>
      <c r="B15" s="20" t="n">
        <v>10000</v>
      </c>
      <c r="C15" s="18" t="s">
        <v>64</v>
      </c>
    </row>
    <row r="16" customFormat="false" ht="16.5" hidden="false" customHeight="true" outlineLevel="0" collapsed="false">
      <c r="A16" s="10" t="s">
        <v>65</v>
      </c>
      <c r="B16" s="21" t="n">
        <v>0.15</v>
      </c>
      <c r="C16" s="18" t="s">
        <v>66</v>
      </c>
    </row>
    <row r="17" customFormat="false" ht="16.5" hidden="false" customHeight="true" outlineLevel="0" collapsed="false">
      <c r="A17" s="10" t="s">
        <v>67</v>
      </c>
      <c r="B17" s="21" t="n">
        <v>0.05</v>
      </c>
      <c r="C17" s="18" t="s">
        <v>68</v>
      </c>
    </row>
    <row r="18" customFormat="false" ht="16.5" hidden="false" customHeight="true" outlineLevel="0" collapsed="false">
      <c r="A18" s="10" t="s">
        <v>69</v>
      </c>
      <c r="B18" s="21" t="n">
        <v>0.02</v>
      </c>
      <c r="C18" s="18" t="s">
        <v>70</v>
      </c>
    </row>
    <row r="19" customFormat="false" ht="6" hidden="false" customHeight="true" outlineLevel="0" collapsed="false"/>
    <row r="20" customFormat="false" ht="18" hidden="false" customHeight="true" outlineLevel="0" collapsed="false">
      <c r="A20" s="15" t="s">
        <v>71</v>
      </c>
      <c r="B20" s="16"/>
      <c r="C20" s="16"/>
    </row>
    <row r="21" customFormat="false" ht="16.5" hidden="false" customHeight="true" outlineLevel="0" collapsed="false">
      <c r="A21" s="10" t="s">
        <v>72</v>
      </c>
      <c r="B21" s="20" t="n">
        <v>500</v>
      </c>
      <c r="C21" s="18" t="s">
        <v>73</v>
      </c>
    </row>
    <row r="22" customFormat="false" ht="16.5" hidden="false" customHeight="true" outlineLevel="0" collapsed="false">
      <c r="A22" s="10" t="s">
        <v>74</v>
      </c>
      <c r="B22" s="19" t="n">
        <v>30</v>
      </c>
      <c r="C22" s="18" t="s">
        <v>75</v>
      </c>
    </row>
    <row r="23" customFormat="false" ht="16.5" hidden="false" customHeight="true" outlineLevel="0" collapsed="false">
      <c r="A23" s="10" t="s">
        <v>76</v>
      </c>
      <c r="B23" s="21" t="n">
        <v>0.25</v>
      </c>
      <c r="C23" s="18" t="s">
        <v>77</v>
      </c>
    </row>
    <row r="24" customFormat="false" ht="6" hidden="false" customHeight="true" outlineLevel="0" collapsed="false"/>
    <row r="25" customFormat="false" ht="18" hidden="false" customHeight="true" outlineLevel="0" collapsed="false">
      <c r="A25" s="15" t="s">
        <v>78</v>
      </c>
      <c r="B25" s="16"/>
      <c r="C25" s="16"/>
    </row>
    <row r="26" customFormat="false" ht="16.5" hidden="false" customHeight="true" outlineLevel="0" collapsed="false">
      <c r="A26" s="10" t="s">
        <v>79</v>
      </c>
      <c r="B26" s="21" t="n">
        <v>0.2</v>
      </c>
      <c r="C26" s="18" t="s">
        <v>80</v>
      </c>
    </row>
    <row r="27" customFormat="false" ht="16.5" hidden="false" customHeight="true" outlineLevel="0" collapsed="false">
      <c r="A27" s="10" t="s">
        <v>81</v>
      </c>
      <c r="B27" s="21" t="n">
        <v>0.1</v>
      </c>
      <c r="C27" s="18" t="s">
        <v>82</v>
      </c>
    </row>
    <row r="28" customFormat="false" ht="6" hidden="false" customHeight="true" outlineLevel="0" collapsed="false"/>
    <row r="29" customFormat="false" ht="18" hidden="false" customHeight="true" outlineLevel="0" collapsed="false">
      <c r="A29" s="15" t="s">
        <v>83</v>
      </c>
      <c r="B29" s="16"/>
      <c r="C29" s="16"/>
    </row>
    <row r="30" customFormat="false" ht="16.5" hidden="false" customHeight="true" outlineLevel="0" collapsed="false">
      <c r="A30" s="10" t="s">
        <v>84</v>
      </c>
      <c r="B30" s="20" t="n">
        <v>50000</v>
      </c>
      <c r="C30" s="18" t="s">
        <v>85</v>
      </c>
    </row>
    <row r="31" customFormat="false" ht="16.5" hidden="false" customHeight="true" outlineLevel="0" collapsed="false">
      <c r="A31" s="10" t="s">
        <v>86</v>
      </c>
      <c r="B31" s="20" t="n">
        <v>20000</v>
      </c>
      <c r="C31" s="18" t="s">
        <v>87</v>
      </c>
    </row>
    <row r="32" customFormat="false" ht="16.5" hidden="false" customHeight="true" outlineLevel="0" collapsed="false">
      <c r="A32" s="10" t="s">
        <v>88</v>
      </c>
      <c r="B32" s="20" t="n">
        <v>15000</v>
      </c>
      <c r="C32" s="18" t="s">
        <v>89</v>
      </c>
    </row>
    <row r="33" customFormat="false" ht="16.5" hidden="false" customHeight="true" outlineLevel="0" collapsed="false">
      <c r="A33" s="10" t="s">
        <v>90</v>
      </c>
      <c r="B33" s="20" t="n">
        <v>8000</v>
      </c>
      <c r="C33" s="18" t="s">
        <v>91</v>
      </c>
    </row>
    <row r="34" customFormat="false" ht="6" hidden="false" customHeight="true" outlineLevel="0" collapsed="false"/>
    <row r="35" customFormat="false" ht="18" hidden="false" customHeight="true" outlineLevel="0" collapsed="false">
      <c r="A35" s="15" t="s">
        <v>92</v>
      </c>
      <c r="B35" s="16"/>
      <c r="C35" s="16"/>
    </row>
    <row r="36" customFormat="false" ht="16.5" hidden="false" customHeight="true" outlineLevel="0" collapsed="false">
      <c r="A36" s="10" t="s">
        <v>93</v>
      </c>
      <c r="B36" s="20" t="n">
        <v>500000</v>
      </c>
      <c r="C36" s="18" t="s">
        <v>94</v>
      </c>
    </row>
    <row r="37" customFormat="false" ht="16.5" hidden="false" customHeight="true" outlineLevel="0" collapsed="false">
      <c r="A37" s="10" t="s">
        <v>95</v>
      </c>
      <c r="B37" s="20" t="n">
        <v>0</v>
      </c>
      <c r="C37" s="18" t="s">
        <v>96</v>
      </c>
    </row>
    <row r="38" customFormat="false" ht="16.5" hidden="false" customHeight="true" outlineLevel="0" collapsed="false">
      <c r="A38" s="10" t="s">
        <v>97</v>
      </c>
      <c r="B38" s="19" t="n">
        <v>0</v>
      </c>
      <c r="C38" s="18" t="s">
        <v>98</v>
      </c>
    </row>
    <row r="40" customFormat="false" ht="15" hidden="false" customHeight="false" outlineLevel="0" collapsed="false">
      <c r="A40" s="22" t="s">
        <v>99</v>
      </c>
      <c r="B40" s="22"/>
      <c r="C40" s="22"/>
    </row>
  </sheetData>
  <mergeCells count="3">
    <mergeCell ref="A1:C1"/>
    <mergeCell ref="A2:C2"/>
    <mergeCell ref="A40:C4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2BBEB"/>
    <pageSetUpPr fitToPage="true"/>
  </sheetPr>
  <dimension ref="A1:AK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37" min="2" style="0" width="11"/>
  </cols>
  <sheetData>
    <row r="1" customFormat="false" ht="30" hidden="false" customHeight="true" outlineLevel="0" collapsed="false">
      <c r="A1" s="13" t="s">
        <v>100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</row>
    <row r="2" customFormat="false" ht="19.5" hidden="false" customHeight="true" outlineLevel="0" collapsed="false">
      <c r="A2" s="23" t="s">
        <v>101</v>
      </c>
      <c r="B2" s="24" t="s">
        <v>102</v>
      </c>
      <c r="C2" s="24" t="s">
        <v>103</v>
      </c>
      <c r="D2" s="24" t="s">
        <v>104</v>
      </c>
      <c r="E2" s="24" t="s">
        <v>105</v>
      </c>
      <c r="F2" s="24" t="s">
        <v>106</v>
      </c>
      <c r="G2" s="24" t="s">
        <v>107</v>
      </c>
      <c r="H2" s="24" t="s">
        <v>108</v>
      </c>
      <c r="I2" s="24" t="s">
        <v>109</v>
      </c>
      <c r="J2" s="24" t="s">
        <v>110</v>
      </c>
      <c r="K2" s="24" t="s">
        <v>111</v>
      </c>
      <c r="L2" s="24" t="s">
        <v>112</v>
      </c>
      <c r="M2" s="25" t="s">
        <v>113</v>
      </c>
      <c r="N2" s="24" t="s">
        <v>114</v>
      </c>
      <c r="O2" s="24" t="s">
        <v>115</v>
      </c>
      <c r="P2" s="24" t="s">
        <v>116</v>
      </c>
      <c r="Q2" s="24" t="s">
        <v>117</v>
      </c>
      <c r="R2" s="24" t="s">
        <v>118</v>
      </c>
      <c r="S2" s="24" t="s">
        <v>119</v>
      </c>
      <c r="T2" s="24" t="s">
        <v>120</v>
      </c>
      <c r="U2" s="24" t="s">
        <v>121</v>
      </c>
      <c r="V2" s="24" t="s">
        <v>122</v>
      </c>
      <c r="W2" s="24" t="s">
        <v>123</v>
      </c>
      <c r="X2" s="24" t="s">
        <v>124</v>
      </c>
      <c r="Y2" s="25" t="s">
        <v>125</v>
      </c>
      <c r="Z2" s="24" t="s">
        <v>126</v>
      </c>
      <c r="AA2" s="24" t="s">
        <v>127</v>
      </c>
      <c r="AB2" s="24" t="s">
        <v>128</v>
      </c>
      <c r="AC2" s="24" t="s">
        <v>129</v>
      </c>
      <c r="AD2" s="24" t="s">
        <v>130</v>
      </c>
      <c r="AE2" s="24" t="s">
        <v>131</v>
      </c>
      <c r="AF2" s="24" t="s">
        <v>132</v>
      </c>
      <c r="AG2" s="24" t="s">
        <v>133</v>
      </c>
      <c r="AH2" s="24" t="s">
        <v>134</v>
      </c>
      <c r="AI2" s="24" t="s">
        <v>135</v>
      </c>
      <c r="AJ2" s="24" t="s">
        <v>136</v>
      </c>
      <c r="AK2" s="25" t="s">
        <v>137</v>
      </c>
    </row>
    <row r="3" customFormat="false" ht="18" hidden="false" customHeight="true" outlineLevel="0" collapsed="false">
      <c r="A3" s="15" t="s">
        <v>138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2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2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26"/>
    </row>
    <row r="4" customFormat="false" ht="15.75" hidden="false" customHeight="true" outlineLevel="0" collapsed="false">
      <c r="A4" s="27" t="s">
        <v>139</v>
      </c>
      <c r="B4" s="28" t="n">
        <f aca="false">Assumptions!$B$15/Assumptions!$B$12</f>
        <v>101.010101010101</v>
      </c>
      <c r="C4" s="28" t="n">
        <f aca="false">B4*(1+Assumptions!$B$16)</f>
        <v>116.161616161616</v>
      </c>
      <c r="D4" s="28" t="n">
        <f aca="false">C4*(1+Assumptions!$B$16)</f>
        <v>133.585858585859</v>
      </c>
      <c r="E4" s="28" t="n">
        <f aca="false">D4*(1+Assumptions!$B$16)</f>
        <v>153.623737373737</v>
      </c>
      <c r="F4" s="28" t="n">
        <f aca="false">E4*(1+Assumptions!$B$16)</f>
        <v>176.667297979798</v>
      </c>
      <c r="G4" s="28" t="n">
        <f aca="false">F4*(1+Assumptions!$B$16)</f>
        <v>203.167392676768</v>
      </c>
      <c r="H4" s="28" t="n">
        <f aca="false">G4*(1+Assumptions!$B$16)</f>
        <v>233.642501578283</v>
      </c>
      <c r="I4" s="28" t="n">
        <f aca="false">H4*(1+Assumptions!$B$16)</f>
        <v>268.688876815025</v>
      </c>
      <c r="J4" s="28" t="n">
        <f aca="false">I4*(1+Assumptions!$B$16)</f>
        <v>308.992208337279</v>
      </c>
      <c r="K4" s="28" t="n">
        <f aca="false">J4*(1+Assumptions!$B$16)</f>
        <v>355.341039587871</v>
      </c>
      <c r="L4" s="28" t="n">
        <f aca="false">K4*(1+Assumptions!$B$16)</f>
        <v>408.642195526051</v>
      </c>
      <c r="M4" s="29" t="n">
        <f aca="false">L4*(1+Assumptions!$B$16)</f>
        <v>469.938524854959</v>
      </c>
      <c r="N4" s="28" t="n">
        <f aca="false">M4*(1+Assumptions!$B$16)</f>
        <v>540.429303583203</v>
      </c>
      <c r="O4" s="28" t="n">
        <f aca="false">N4*(1+Assumptions!$B$16)</f>
        <v>621.493699120683</v>
      </c>
      <c r="P4" s="28" t="n">
        <f aca="false">O4*(1+Assumptions!$B$16)</f>
        <v>714.717753988785</v>
      </c>
      <c r="Q4" s="28" t="n">
        <f aca="false">P4*(1+Assumptions!$B$16)</f>
        <v>821.925417087103</v>
      </c>
      <c r="R4" s="28" t="n">
        <f aca="false">Q4*(1+Assumptions!$B$16)</f>
        <v>945.214229650169</v>
      </c>
      <c r="S4" s="28" t="n">
        <f aca="false">R4*(1+Assumptions!$B$16)</f>
        <v>1086.99636409769</v>
      </c>
      <c r="T4" s="28" t="n">
        <f aca="false">S4*(1+Assumptions!$B$16)</f>
        <v>1250.04581871235</v>
      </c>
      <c r="U4" s="28" t="n">
        <f aca="false">T4*(1+Assumptions!$B$16)</f>
        <v>1437.5526915192</v>
      </c>
      <c r="V4" s="28" t="n">
        <f aca="false">U4*(1+Assumptions!$B$16)</f>
        <v>1653.18559524708</v>
      </c>
      <c r="W4" s="28" t="n">
        <f aca="false">V4*(1+Assumptions!$B$16)</f>
        <v>1901.16343453414</v>
      </c>
      <c r="X4" s="28" t="n">
        <f aca="false">W4*(1+Assumptions!$B$16)</f>
        <v>2186.33794971426</v>
      </c>
      <c r="Y4" s="29" t="n">
        <f aca="false">X4*(1+Assumptions!$B$16)</f>
        <v>2514.2886421714</v>
      </c>
      <c r="Z4" s="28" t="n">
        <f aca="false">Y4*(1+Assumptions!$B$16)</f>
        <v>2891.43193849711</v>
      </c>
      <c r="AA4" s="28" t="n">
        <f aca="false">Z4*(1+Assumptions!$B$16)</f>
        <v>3325.14672927168</v>
      </c>
      <c r="AB4" s="28" t="n">
        <f aca="false">AA4*(1+Assumptions!$B$16)</f>
        <v>3823.91873866243</v>
      </c>
      <c r="AC4" s="28" t="n">
        <f aca="false">AB4*(1+Assumptions!$B$16)</f>
        <v>4397.5065494618</v>
      </c>
      <c r="AD4" s="28" t="n">
        <f aca="false">AC4*(1+Assumptions!$B$16)</f>
        <v>5057.13253188106</v>
      </c>
      <c r="AE4" s="28" t="n">
        <f aca="false">AD4*(1+Assumptions!$B$16)</f>
        <v>5815.70241166322</v>
      </c>
      <c r="AF4" s="28" t="n">
        <f aca="false">AE4*(1+Assumptions!$B$16)</f>
        <v>6688.05777341271</v>
      </c>
      <c r="AG4" s="28" t="n">
        <f aca="false">AF4*(1+Assumptions!$B$16)</f>
        <v>7691.26643942461</v>
      </c>
      <c r="AH4" s="28" t="n">
        <f aca="false">AG4*(1+Assumptions!$B$16)</f>
        <v>8844.9564053383</v>
      </c>
      <c r="AI4" s="28" t="n">
        <f aca="false">AH4*(1+Assumptions!$B$16)</f>
        <v>10171.699866139</v>
      </c>
      <c r="AJ4" s="28" t="n">
        <f aca="false">AI4*(1+Assumptions!$B$16)</f>
        <v>11697.4548460599</v>
      </c>
      <c r="AK4" s="29" t="n">
        <f aca="false">AJ4*(1+Assumptions!$B$16)</f>
        <v>13452.0730729689</v>
      </c>
    </row>
    <row r="5" customFormat="false" ht="15.75" hidden="false" customHeight="true" outlineLevel="0" collapsed="false">
      <c r="A5" s="27" t="s">
        <v>140</v>
      </c>
      <c r="B5" s="28" t="n">
        <f aca="false">Assumptions!$B$15/Assumptions!$B$12*Assumptions!$B$17</f>
        <v>5.05050505050505</v>
      </c>
      <c r="C5" s="28" t="n">
        <f aca="false">B7*Assumptions!$B$17</f>
        <v>4.7979797979798</v>
      </c>
      <c r="D5" s="28" t="n">
        <f aca="false">C7*Assumptions!$B$17</f>
        <v>10.3661616161616</v>
      </c>
      <c r="E5" s="28" t="n">
        <f aca="false">D7*Assumptions!$B$17</f>
        <v>16.5271464646465</v>
      </c>
      <c r="F5" s="28" t="n">
        <f aca="false">E7*Assumptions!$B$17</f>
        <v>23.381976010101</v>
      </c>
      <c r="G5" s="28" t="n">
        <f aca="false">F7*Assumptions!$B$17</f>
        <v>31.0462421085859</v>
      </c>
      <c r="H5" s="28" t="n">
        <f aca="false">G7*Assumptions!$B$17</f>
        <v>39.6522996369949</v>
      </c>
      <c r="I5" s="28" t="n">
        <f aca="false">H7*Assumptions!$B$17</f>
        <v>49.3518097340593</v>
      </c>
      <c r="J5" s="28" t="n">
        <f aca="false">I7*Assumptions!$B$17</f>
        <v>60.3186630881076</v>
      </c>
      <c r="K5" s="28" t="n">
        <f aca="false">J7*Assumptions!$B$17</f>
        <v>72.7523403505662</v>
      </c>
      <c r="L5" s="28" t="n">
        <f aca="false">K7*Assumptions!$B$17</f>
        <v>86.8817753124314</v>
      </c>
      <c r="M5" s="29" t="n">
        <f aca="false">L7*Assumptions!$B$17</f>
        <v>102.969796323112</v>
      </c>
      <c r="N5" s="28" t="n">
        <f aca="false">M7*Assumptions!$B$17</f>
        <v>121.318232749705</v>
      </c>
      <c r="O5" s="28" t="n">
        <f aca="false">N7*Assumptions!$B$17</f>
        <v>142.27378629138</v>
      </c>
      <c r="P5" s="28" t="n">
        <f aca="false">O7*Assumptions!$B$17</f>
        <v>166.234781932845</v>
      </c>
      <c r="Q5" s="28" t="n">
        <f aca="false">P7*Assumptions!$B$17</f>
        <v>193.658930535642</v>
      </c>
      <c r="R5" s="28" t="n">
        <f aca="false">Q7*Assumptions!$B$17</f>
        <v>225.072254863215</v>
      </c>
      <c r="S5" s="28" t="n">
        <f aca="false">R7*Assumptions!$B$17</f>
        <v>261.079353602563</v>
      </c>
      <c r="T5" s="28" t="n">
        <f aca="false">S7*Assumptions!$B$17</f>
        <v>302.375204127319</v>
      </c>
      <c r="U5" s="28" t="n">
        <f aca="false">T7*Assumptions!$B$17</f>
        <v>349.758734856571</v>
      </c>
      <c r="V5" s="28" t="n">
        <f aca="false">U7*Assumptions!$B$17</f>
        <v>404.148432689702</v>
      </c>
      <c r="W5" s="28" t="n">
        <f aca="false">V7*Assumptions!$B$17</f>
        <v>466.600290817571</v>
      </c>
      <c r="X5" s="28" t="n">
        <f aca="false">W7*Assumptions!$B$17</f>
        <v>538.328448003399</v>
      </c>
      <c r="Y5" s="29" t="n">
        <f aca="false">X7*Assumptions!$B$17</f>
        <v>620.728923088943</v>
      </c>
      <c r="Z5" s="28" t="n">
        <f aca="false">Y7*Assumptions!$B$17</f>
        <v>715.406909043066</v>
      </c>
      <c r="AA5" s="28" t="n">
        <f aca="false">Z7*Assumptions!$B$17</f>
        <v>824.208160515768</v>
      </c>
      <c r="AB5" s="28" t="n">
        <f aca="false">AA7*Assumptions!$B$17</f>
        <v>949.255088953564</v>
      </c>
      <c r="AC5" s="28" t="n">
        <f aca="false">AB7*Assumptions!$B$17</f>
        <v>1092.98827143901</v>
      </c>
      <c r="AD5" s="28" t="n">
        <f aca="false">AC7*Assumptions!$B$17</f>
        <v>1258.21418534015</v>
      </c>
      <c r="AE5" s="28" t="n">
        <f aca="false">AD7*Assumptions!$B$17</f>
        <v>1448.16010266719</v>
      </c>
      <c r="AF5" s="28" t="n">
        <f aca="false">AE7*Assumptions!$B$17</f>
        <v>1666.53721811699</v>
      </c>
      <c r="AG5" s="28" t="n">
        <f aca="false">AF7*Assumptions!$B$17</f>
        <v>1917.61324588178</v>
      </c>
      <c r="AH5" s="28" t="n">
        <f aca="false">AG7*Assumptions!$B$17</f>
        <v>2206.29590555892</v>
      </c>
      <c r="AI5" s="28" t="n">
        <f aca="false">AH7*Assumptions!$B$17</f>
        <v>2538.22893054789</v>
      </c>
      <c r="AJ5" s="28" t="n">
        <f aca="false">AI7*Assumptions!$B$17</f>
        <v>2919.90247732745</v>
      </c>
      <c r="AK5" s="29" t="n">
        <f aca="false">AJ7*Assumptions!$B$17</f>
        <v>3358.78009576407</v>
      </c>
    </row>
    <row r="6" customFormat="false" ht="15.75" hidden="false" customHeight="true" outlineLevel="0" collapsed="false">
      <c r="A6" s="27" t="s">
        <v>141</v>
      </c>
      <c r="B6" s="28" t="n">
        <f aca="false">B4-B5</f>
        <v>95.959595959596</v>
      </c>
      <c r="C6" s="28" t="n">
        <f aca="false">C4-C5</f>
        <v>111.363636363636</v>
      </c>
      <c r="D6" s="28" t="n">
        <f aca="false">D4-D5</f>
        <v>123.219696969697</v>
      </c>
      <c r="E6" s="28" t="n">
        <f aca="false">E4-E5</f>
        <v>137.096590909091</v>
      </c>
      <c r="F6" s="28" t="n">
        <f aca="false">F4-F5</f>
        <v>153.285321969697</v>
      </c>
      <c r="G6" s="28" t="n">
        <f aca="false">G4-G5</f>
        <v>172.121150568182</v>
      </c>
      <c r="H6" s="28" t="n">
        <f aca="false">H4-H5</f>
        <v>193.990201941288</v>
      </c>
      <c r="I6" s="28" t="n">
        <f aca="false">I4-I5</f>
        <v>219.337067080966</v>
      </c>
      <c r="J6" s="28" t="n">
        <f aca="false">J4-J5</f>
        <v>248.673545249171</v>
      </c>
      <c r="K6" s="28" t="n">
        <f aca="false">K4-K5</f>
        <v>282.588699237304</v>
      </c>
      <c r="L6" s="28" t="n">
        <f aca="false">L4-L5</f>
        <v>321.76042021362</v>
      </c>
      <c r="M6" s="29" t="n">
        <f aca="false">M4-M5</f>
        <v>366.968728531846</v>
      </c>
      <c r="N6" s="28" t="n">
        <f aca="false">N4-N5</f>
        <v>419.111070833498</v>
      </c>
      <c r="O6" s="28" t="n">
        <f aca="false">O4-O5</f>
        <v>479.219912829303</v>
      </c>
      <c r="P6" s="28" t="n">
        <f aca="false">P4-P5</f>
        <v>548.482972055941</v>
      </c>
      <c r="Q6" s="28" t="n">
        <f aca="false">Q4-Q5</f>
        <v>628.266486551461</v>
      </c>
      <c r="R6" s="28" t="n">
        <f aca="false">R4-R5</f>
        <v>720.141974786954</v>
      </c>
      <c r="S6" s="28" t="n">
        <f aca="false">S4-S5</f>
        <v>825.917010495131</v>
      </c>
      <c r="T6" s="28" t="n">
        <f aca="false">T4-T5</f>
        <v>947.670614585029</v>
      </c>
      <c r="U6" s="28" t="n">
        <f aca="false">U4-U5</f>
        <v>1087.79395666263</v>
      </c>
      <c r="V6" s="28" t="n">
        <f aca="false">V4-V5</f>
        <v>1249.03716255738</v>
      </c>
      <c r="W6" s="28" t="n">
        <f aca="false">W4-W5</f>
        <v>1434.56314371657</v>
      </c>
      <c r="X6" s="28" t="n">
        <f aca="false">X4-X5</f>
        <v>1648.00950171086</v>
      </c>
      <c r="Y6" s="29" t="n">
        <f aca="false">Y4-Y5</f>
        <v>1893.55971908246</v>
      </c>
      <c r="Z6" s="28" t="n">
        <f aca="false">Z4-Z5</f>
        <v>2176.02502945405</v>
      </c>
      <c r="AA6" s="28" t="n">
        <f aca="false">AA4-AA5</f>
        <v>2500.93856875591</v>
      </c>
      <c r="AB6" s="28" t="n">
        <f aca="false">AB4-AB5</f>
        <v>2874.66364970887</v>
      </c>
      <c r="AC6" s="28" t="n">
        <f aca="false">AC4-AC5</f>
        <v>3304.51827802279</v>
      </c>
      <c r="AD6" s="28" t="n">
        <f aca="false">AD4-AD5</f>
        <v>3798.91834654092</v>
      </c>
      <c r="AE6" s="28" t="n">
        <f aca="false">AE4-AE5</f>
        <v>4367.54230899603</v>
      </c>
      <c r="AF6" s="28" t="n">
        <f aca="false">AF4-AF5</f>
        <v>5021.52055529571</v>
      </c>
      <c r="AG6" s="28" t="n">
        <f aca="false">AG4-AG5</f>
        <v>5773.65319354283</v>
      </c>
      <c r="AH6" s="28" t="n">
        <f aca="false">AH4-AH5</f>
        <v>6638.66049977938</v>
      </c>
      <c r="AI6" s="28" t="n">
        <f aca="false">AI4-AI5</f>
        <v>7633.47093559116</v>
      </c>
      <c r="AJ6" s="28" t="n">
        <f aca="false">AJ4-AJ5</f>
        <v>8777.55236873245</v>
      </c>
      <c r="AK6" s="29" t="n">
        <f aca="false">AK4-AK5</f>
        <v>10093.2929772048</v>
      </c>
    </row>
    <row r="7" customFormat="false" ht="15.75" hidden="false" customHeight="true" outlineLevel="0" collapsed="false">
      <c r="A7" s="30" t="s">
        <v>142</v>
      </c>
      <c r="B7" s="31" t="n">
        <f aca="false">B6</f>
        <v>95.959595959596</v>
      </c>
      <c r="C7" s="31" t="n">
        <f aca="false">B7+C6</f>
        <v>207.323232323232</v>
      </c>
      <c r="D7" s="31" t="n">
        <f aca="false">C7+D6</f>
        <v>330.542929292929</v>
      </c>
      <c r="E7" s="31" t="n">
        <f aca="false">D7+E6</f>
        <v>467.63952020202</v>
      </c>
      <c r="F7" s="31" t="n">
        <f aca="false">E7+F6</f>
        <v>620.924842171717</v>
      </c>
      <c r="G7" s="31" t="n">
        <f aca="false">F7+G6</f>
        <v>793.045992739899</v>
      </c>
      <c r="H7" s="31" t="n">
        <f aca="false">G7+H6</f>
        <v>987.036194681187</v>
      </c>
      <c r="I7" s="31" t="n">
        <f aca="false">H7+I6</f>
        <v>1206.37326176215</v>
      </c>
      <c r="J7" s="31" t="n">
        <f aca="false">I7+J6</f>
        <v>1455.04680701132</v>
      </c>
      <c r="K7" s="31" t="n">
        <f aca="false">J7+K6</f>
        <v>1737.63550624863</v>
      </c>
      <c r="L7" s="31" t="n">
        <f aca="false">K7+L6</f>
        <v>2059.39592646225</v>
      </c>
      <c r="M7" s="32" t="n">
        <f aca="false">L7+M6</f>
        <v>2426.36465499409</v>
      </c>
      <c r="N7" s="31" t="n">
        <f aca="false">M7+N6</f>
        <v>2845.47572582759</v>
      </c>
      <c r="O7" s="31" t="n">
        <f aca="false">N7+O6</f>
        <v>3324.6956386569</v>
      </c>
      <c r="P7" s="31" t="n">
        <f aca="false">O7+P6</f>
        <v>3873.17861071284</v>
      </c>
      <c r="Q7" s="31" t="n">
        <f aca="false">P7+Q6</f>
        <v>4501.4450972643</v>
      </c>
      <c r="R7" s="31" t="n">
        <f aca="false">Q7+R6</f>
        <v>5221.58707205125</v>
      </c>
      <c r="S7" s="31" t="n">
        <f aca="false">R7+S6</f>
        <v>6047.50408254638</v>
      </c>
      <c r="T7" s="31" t="n">
        <f aca="false">S7+T6</f>
        <v>6995.17469713141</v>
      </c>
      <c r="U7" s="31" t="n">
        <f aca="false">T7+U6</f>
        <v>8082.96865379404</v>
      </c>
      <c r="V7" s="31" t="n">
        <f aca="false">U7+V6</f>
        <v>9332.00581635142</v>
      </c>
      <c r="W7" s="31" t="n">
        <f aca="false">V7+W6</f>
        <v>10766.568960068</v>
      </c>
      <c r="X7" s="31" t="n">
        <f aca="false">W7+X6</f>
        <v>12414.5784617789</v>
      </c>
      <c r="Y7" s="32" t="n">
        <f aca="false">X7+Y6</f>
        <v>14308.1381808613</v>
      </c>
      <c r="Z7" s="31" t="n">
        <f aca="false">Y7+Z6</f>
        <v>16484.1632103154</v>
      </c>
      <c r="AA7" s="31" t="n">
        <f aca="false">Z7+AA6</f>
        <v>18985.1017790713</v>
      </c>
      <c r="AB7" s="31" t="n">
        <f aca="false">AA7+AB6</f>
        <v>21859.7654287801</v>
      </c>
      <c r="AC7" s="31" t="n">
        <f aca="false">AB7+AC6</f>
        <v>25164.2837068029</v>
      </c>
      <c r="AD7" s="31" t="n">
        <f aca="false">AC7+AD6</f>
        <v>28963.2020533438</v>
      </c>
      <c r="AE7" s="31" t="n">
        <f aca="false">AD7+AE6</f>
        <v>33330.7443623399</v>
      </c>
      <c r="AF7" s="31" t="n">
        <f aca="false">AE7+AF6</f>
        <v>38352.2649176356</v>
      </c>
      <c r="AG7" s="31" t="n">
        <f aca="false">AF7+AG6</f>
        <v>44125.9181111784</v>
      </c>
      <c r="AH7" s="31" t="n">
        <f aca="false">AG7+AH6</f>
        <v>50764.5786109578</v>
      </c>
      <c r="AI7" s="31" t="n">
        <f aca="false">AH7+AI6</f>
        <v>58398.0495465489</v>
      </c>
      <c r="AJ7" s="31" t="n">
        <f aca="false">AI7+AJ6</f>
        <v>67175.6019152814</v>
      </c>
      <c r="AK7" s="32" t="n">
        <f aca="false">AJ7+AK6</f>
        <v>77268.8948924862</v>
      </c>
    </row>
    <row r="8" customFormat="false" ht="6" hidden="false" customHeight="true" outlineLevel="0" collapsed="false">
      <c r="M8" s="33"/>
      <c r="Y8" s="33"/>
      <c r="AK8" s="33"/>
    </row>
    <row r="9" customFormat="false" ht="18" hidden="false" customHeight="true" outlineLevel="0" collapsed="false">
      <c r="A9" s="15" t="s">
        <v>143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2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26"/>
    </row>
    <row r="10" customFormat="false" ht="15.75" hidden="false" customHeight="true" outlineLevel="0" collapsed="false">
      <c r="A10" s="27" t="s">
        <v>144</v>
      </c>
      <c r="B10" s="34" t="n">
        <f aca="false">B4*Assumptions!$B$12</f>
        <v>10000</v>
      </c>
      <c r="C10" s="34" t="n">
        <f aca="false">C4*Assumptions!$B$12</f>
        <v>11500</v>
      </c>
      <c r="D10" s="34" t="n">
        <f aca="false">D4*Assumptions!$B$12</f>
        <v>13225</v>
      </c>
      <c r="E10" s="34" t="n">
        <f aca="false">E4*Assumptions!$B$12</f>
        <v>15208.75</v>
      </c>
      <c r="F10" s="34" t="n">
        <f aca="false">F4*Assumptions!$B$12</f>
        <v>17490.0625</v>
      </c>
      <c r="G10" s="34" t="n">
        <f aca="false">G4*Assumptions!$B$12</f>
        <v>20113.571875</v>
      </c>
      <c r="H10" s="34" t="n">
        <f aca="false">H4*Assumptions!$B$12</f>
        <v>23130.60765625</v>
      </c>
      <c r="I10" s="34" t="n">
        <f aca="false">I4*Assumptions!$B$12</f>
        <v>26600.1988046875</v>
      </c>
      <c r="J10" s="34" t="n">
        <f aca="false">J4*Assumptions!$B$12</f>
        <v>30590.2286253906</v>
      </c>
      <c r="K10" s="34" t="n">
        <f aca="false">K4*Assumptions!$B$12</f>
        <v>35178.7629191992</v>
      </c>
      <c r="L10" s="34" t="n">
        <f aca="false">L4*Assumptions!$B$12</f>
        <v>40455.5773570791</v>
      </c>
      <c r="M10" s="35" t="n">
        <f aca="false">M4*Assumptions!$B$12</f>
        <v>46523.9139606409</v>
      </c>
      <c r="N10" s="34" t="n">
        <f aca="false">N4*Assumptions!$B$12</f>
        <v>53502.5010547371</v>
      </c>
      <c r="O10" s="34" t="n">
        <f aca="false">O4*Assumptions!$B$12</f>
        <v>61527.8762129476</v>
      </c>
      <c r="P10" s="34" t="n">
        <f aca="false">P4*Assumptions!$B$12</f>
        <v>70757.0576448898</v>
      </c>
      <c r="Q10" s="34" t="n">
        <f aca="false">Q4*Assumptions!$B$12</f>
        <v>81370.6162916232</v>
      </c>
      <c r="R10" s="34" t="n">
        <f aca="false">R4*Assumptions!$B$12</f>
        <v>93576.2087353667</v>
      </c>
      <c r="S10" s="34" t="n">
        <f aca="false">S4*Assumptions!$B$12</f>
        <v>107612.640045672</v>
      </c>
      <c r="T10" s="34" t="n">
        <f aca="false">T4*Assumptions!$B$12</f>
        <v>123754.536052522</v>
      </c>
      <c r="U10" s="34" t="n">
        <f aca="false">U4*Assumptions!$B$12</f>
        <v>142317.716460401</v>
      </c>
      <c r="V10" s="34" t="n">
        <f aca="false">V4*Assumptions!$B$12</f>
        <v>163665.373929461</v>
      </c>
      <c r="W10" s="34" t="n">
        <f aca="false">W4*Assumptions!$B$12</f>
        <v>188215.18001888</v>
      </c>
      <c r="X10" s="34" t="n">
        <f aca="false">X4*Assumptions!$B$12</f>
        <v>216447.457021712</v>
      </c>
      <c r="Y10" s="35" t="n">
        <f aca="false">Y4*Assumptions!$B$12</f>
        <v>248914.575574969</v>
      </c>
      <c r="Z10" s="34" t="n">
        <f aca="false">Z4*Assumptions!$B$12</f>
        <v>286251.761911214</v>
      </c>
      <c r="AA10" s="34" t="n">
        <f aca="false">AA4*Assumptions!$B$12</f>
        <v>329189.526197896</v>
      </c>
      <c r="AB10" s="34" t="n">
        <f aca="false">AB4*Assumptions!$B$12</f>
        <v>378567.955127581</v>
      </c>
      <c r="AC10" s="34" t="n">
        <f aca="false">AC4*Assumptions!$B$12</f>
        <v>435353.148396718</v>
      </c>
      <c r="AD10" s="34" t="n">
        <f aca="false">AD4*Assumptions!$B$12</f>
        <v>500656.120656225</v>
      </c>
      <c r="AE10" s="34" t="n">
        <f aca="false">AE4*Assumptions!$B$12</f>
        <v>575754.538754659</v>
      </c>
      <c r="AF10" s="34" t="n">
        <f aca="false">AF4*Assumptions!$B$12</f>
        <v>662117.719567858</v>
      </c>
      <c r="AG10" s="34" t="n">
        <f aca="false">AG4*Assumptions!$B$12</f>
        <v>761435.377503036</v>
      </c>
      <c r="AH10" s="34" t="n">
        <f aca="false">AH4*Assumptions!$B$12</f>
        <v>875650.684128492</v>
      </c>
      <c r="AI10" s="34" t="n">
        <f aca="false">AI4*Assumptions!$B$12</f>
        <v>1006998.28674777</v>
      </c>
      <c r="AJ10" s="34" t="n">
        <f aca="false">AJ4*Assumptions!$B$12</f>
        <v>1158048.02975993</v>
      </c>
      <c r="AK10" s="35" t="n">
        <f aca="false">AK4*Assumptions!$B$12</f>
        <v>1331755.23422392</v>
      </c>
    </row>
    <row r="11" customFormat="false" ht="15.75" hidden="false" customHeight="true" outlineLevel="0" collapsed="false">
      <c r="A11" s="27" t="s">
        <v>145</v>
      </c>
      <c r="B11" s="34" t="n">
        <f aca="false">Assumptions!$B$15*Assumptions!$B$18</f>
        <v>200</v>
      </c>
      <c r="C11" s="34" t="n">
        <f aca="false">B13*Assumptions!$B$18</f>
        <v>194</v>
      </c>
      <c r="D11" s="34" t="n">
        <f aca="false">C13*Assumptions!$B$18</f>
        <v>224.38</v>
      </c>
      <c r="E11" s="34" t="n">
        <f aca="false">D13*Assumptions!$B$18</f>
        <v>248.4626</v>
      </c>
      <c r="F11" s="34" t="n">
        <f aca="false">E13*Assumptions!$B$18</f>
        <v>276.420502</v>
      </c>
      <c r="G11" s="34" t="n">
        <f aca="false">F13*Assumptions!$B$18</f>
        <v>309.03334754</v>
      </c>
      <c r="H11" s="34" t="n">
        <f aca="false">G13*Assumptions!$B$18</f>
        <v>346.9805450758</v>
      </c>
      <c r="I11" s="34" t="n">
        <f aca="false">H13*Assumptions!$B$18</f>
        <v>391.040210745266</v>
      </c>
      <c r="J11" s="34" t="n">
        <f aca="false">I13*Assumptions!$B$18</f>
        <v>442.108197035218</v>
      </c>
      <c r="K11" s="34" t="n">
        <f aca="false">J13*Assumptions!$B$18</f>
        <v>501.215783534063</v>
      </c>
      <c r="L11" s="34" t="n">
        <f aca="false">K13*Assumptions!$B$18</f>
        <v>569.549940160544</v>
      </c>
      <c r="M11" s="35" t="n">
        <f aca="false">L13*Assumptions!$B$18</f>
        <v>648.476630826178</v>
      </c>
      <c r="N11" s="34" t="n">
        <f aca="false">M13*Assumptions!$B$18</f>
        <v>739.56761510958</v>
      </c>
      <c r="O11" s="34" t="n">
        <f aca="false">N13*Assumptions!$B$18</f>
        <v>844.631272552518</v>
      </c>
      <c r="P11" s="34" t="n">
        <f aca="false">O13*Assumptions!$B$18</f>
        <v>965.748052853071</v>
      </c>
      <c r="Q11" s="34" t="n">
        <f aca="false">P13*Assumptions!$B$18</f>
        <v>1105.31124572782</v>
      </c>
      <c r="R11" s="34" t="n">
        <f aca="false">Q13*Assumptions!$B$18</f>
        <v>1266.07386828645</v>
      </c>
      <c r="S11" s="34" t="n">
        <f aca="false">R13*Assumptions!$B$18</f>
        <v>1451.2025874439</v>
      </c>
      <c r="T11" s="34" t="n">
        <f aca="false">S13*Assumptions!$B$18</f>
        <v>1664.33973252924</v>
      </c>
      <c r="U11" s="34" t="n">
        <f aca="false">T13*Assumptions!$B$18</f>
        <v>1909.67461152894</v>
      </c>
      <c r="V11" s="34" t="n">
        <f aca="false">U13*Assumptions!$B$18</f>
        <v>2192.02552642258</v>
      </c>
      <c r="W11" s="34" t="n">
        <f aca="false">V13*Assumptions!$B$18</f>
        <v>2516.93409239206</v>
      </c>
      <c r="X11" s="34" t="n">
        <f aca="false">W13*Assumptions!$B$18</f>
        <v>2890.77370640665</v>
      </c>
      <c r="Y11" s="35" t="n">
        <f aca="false">X13*Assumptions!$B$18</f>
        <v>3320.87428751564</v>
      </c>
      <c r="Z11" s="34" t="n">
        <f aca="false">Y13*Assumptions!$B$18</f>
        <v>3815.66572953358</v>
      </c>
      <c r="AA11" s="34" t="n">
        <f aca="false">Z13*Assumptions!$B$18</f>
        <v>4384.84287290968</v>
      </c>
      <c r="AB11" s="34" t="n">
        <f aca="false">AA13*Assumptions!$B$18</f>
        <v>5039.5552235949</v>
      </c>
      <c r="AC11" s="34" t="n">
        <f aca="false">AB13*Assumptions!$B$18</f>
        <v>5792.62513089545</v>
      </c>
      <c r="AD11" s="34" t="n">
        <f aca="false">AC13*Assumptions!$B$18</f>
        <v>6658.79869310303</v>
      </c>
      <c r="AE11" s="34" t="n">
        <f aca="false">AD13*Assumptions!$B$18</f>
        <v>7655.03430001308</v>
      </c>
      <c r="AF11" s="34" t="n">
        <f aca="false">AE13*Assumptions!$B$18</f>
        <v>8800.8344578124</v>
      </c>
      <c r="AG11" s="34" t="n">
        <f aca="false">AF13*Assumptions!$B$18</f>
        <v>10118.6273886418</v>
      </c>
      <c r="AH11" s="34" t="n">
        <f aca="false">AG13*Assumptions!$B$18</f>
        <v>11634.2058709876</v>
      </c>
      <c r="AI11" s="34" t="n">
        <f aca="false">AH13*Assumptions!$B$18</f>
        <v>13377.2319069829</v>
      </c>
      <c r="AJ11" s="34" t="n">
        <f aca="false">AI13*Assumptions!$B$18</f>
        <v>15381.8170906101</v>
      </c>
      <c r="AK11" s="35" t="n">
        <f aca="false">AJ13*Assumptions!$B$18</f>
        <v>17687.1900319025</v>
      </c>
    </row>
    <row r="12" customFormat="false" ht="15.75" hidden="false" customHeight="true" outlineLevel="0" collapsed="false">
      <c r="A12" s="27" t="s">
        <v>146</v>
      </c>
      <c r="B12" s="34" t="n">
        <f aca="false">B5*Assumptions!$B$12</f>
        <v>500</v>
      </c>
      <c r="C12" s="34" t="n">
        <f aca="false">C5*Assumptions!$B$12</f>
        <v>475</v>
      </c>
      <c r="D12" s="34" t="n">
        <f aca="false">D5*Assumptions!$B$12</f>
        <v>1026.25</v>
      </c>
      <c r="E12" s="34" t="n">
        <f aca="false">E5*Assumptions!$B$12</f>
        <v>1636.1875</v>
      </c>
      <c r="F12" s="34" t="n">
        <f aca="false">F5*Assumptions!$B$12</f>
        <v>2314.815625</v>
      </c>
      <c r="G12" s="34" t="n">
        <f aca="false">G5*Assumptions!$B$12</f>
        <v>3073.57796875</v>
      </c>
      <c r="H12" s="34" t="n">
        <f aca="false">H5*Assumptions!$B$12</f>
        <v>3925.5776640625</v>
      </c>
      <c r="I12" s="34" t="n">
        <f aca="false">I5*Assumptions!$B$12</f>
        <v>4885.82916367187</v>
      </c>
      <c r="J12" s="34" t="n">
        <f aca="false">J5*Assumptions!$B$12</f>
        <v>5971.54764572266</v>
      </c>
      <c r="K12" s="34" t="n">
        <f aca="false">K5*Assumptions!$B$12</f>
        <v>7202.48169470605</v>
      </c>
      <c r="L12" s="34" t="n">
        <f aca="false">L5*Assumptions!$B$12</f>
        <v>8601.29575593071</v>
      </c>
      <c r="M12" s="35" t="n">
        <f aca="false">M5*Assumptions!$B$12</f>
        <v>10194.0098359881</v>
      </c>
      <c r="N12" s="34" t="n">
        <f aca="false">N5*Assumptions!$B$12</f>
        <v>12010.5050422208</v>
      </c>
      <c r="O12" s="34" t="n">
        <f aca="false">O5*Assumptions!$B$12</f>
        <v>14085.1048428466</v>
      </c>
      <c r="P12" s="34" t="n">
        <f aca="false">P5*Assumptions!$B$12</f>
        <v>16457.2434113516</v>
      </c>
      <c r="Q12" s="34" t="n">
        <f aca="false">Q5*Assumptions!$B$12</f>
        <v>19172.2341230285</v>
      </c>
      <c r="R12" s="34" t="n">
        <f aca="false">R5*Assumptions!$B$12</f>
        <v>22282.1532314583</v>
      </c>
      <c r="S12" s="34" t="n">
        <f aca="false">S5*Assumptions!$B$12</f>
        <v>25846.8560066537</v>
      </c>
      <c r="T12" s="34" t="n">
        <f aca="false">T5*Assumptions!$B$12</f>
        <v>29935.1452086046</v>
      </c>
      <c r="U12" s="34" t="n">
        <f aca="false">U5*Assumptions!$B$12</f>
        <v>34626.1147508005</v>
      </c>
      <c r="V12" s="34" t="n">
        <f aca="false">V5*Assumptions!$B$12</f>
        <v>40010.6948362805</v>
      </c>
      <c r="W12" s="34" t="n">
        <f aca="false">W5*Assumptions!$B$12</f>
        <v>46193.4287909395</v>
      </c>
      <c r="X12" s="34" t="n">
        <f aca="false">X5*Assumptions!$B$12</f>
        <v>53294.5163523365</v>
      </c>
      <c r="Y12" s="35" t="n">
        <f aca="false">Y5*Assumptions!$B$12</f>
        <v>61452.1633858053</v>
      </c>
      <c r="Z12" s="34" t="n">
        <f aca="false">Z5*Assumptions!$B$12</f>
        <v>70825.2839952635</v>
      </c>
      <c r="AA12" s="34" t="n">
        <f aca="false">AA5*Assumptions!$B$12</f>
        <v>81596.607891061</v>
      </c>
      <c r="AB12" s="34" t="n">
        <f aca="false">AB5*Assumptions!$B$12</f>
        <v>93976.2538064028</v>
      </c>
      <c r="AC12" s="34" t="n">
        <f aca="false">AC5*Assumptions!$B$12</f>
        <v>108205.838872462</v>
      </c>
      <c r="AD12" s="34" t="n">
        <f aca="false">AD5*Assumptions!$B$12</f>
        <v>124563.204348674</v>
      </c>
      <c r="AE12" s="34" t="n">
        <f aca="false">AE5*Assumptions!$B$12</f>
        <v>143367.850164052</v>
      </c>
      <c r="AF12" s="34" t="n">
        <f aca="false">AF5*Assumptions!$B$12</f>
        <v>164987.184593582</v>
      </c>
      <c r="AG12" s="34" t="n">
        <f aca="false">AG5*Assumptions!$B$12</f>
        <v>189843.711342296</v>
      </c>
      <c r="AH12" s="34" t="n">
        <f aca="false">AH5*Assumptions!$B$12</f>
        <v>218423.294650333</v>
      </c>
      <c r="AI12" s="34" t="n">
        <f aca="false">AI5*Assumptions!$B$12</f>
        <v>251284.664124241</v>
      </c>
      <c r="AJ12" s="34" t="n">
        <f aca="false">AJ5*Assumptions!$B$12</f>
        <v>289070.345255417</v>
      </c>
      <c r="AK12" s="35" t="n">
        <f aca="false">AK5*Assumptions!$B$12</f>
        <v>332519.229480643</v>
      </c>
    </row>
    <row r="13" customFormat="false" ht="15.75" hidden="false" customHeight="true" outlineLevel="0" collapsed="false">
      <c r="A13" s="30" t="s">
        <v>147</v>
      </c>
      <c r="B13" s="36" t="n">
        <f aca="false">B10+B11-B12</f>
        <v>9700</v>
      </c>
      <c r="C13" s="36" t="n">
        <f aca="false">C10+C11-C12</f>
        <v>11219</v>
      </c>
      <c r="D13" s="36" t="n">
        <f aca="false">D10+D11-D12</f>
        <v>12423.13</v>
      </c>
      <c r="E13" s="36" t="n">
        <f aca="false">E10+E11-E12</f>
        <v>13821.0251</v>
      </c>
      <c r="F13" s="36" t="n">
        <f aca="false">F10+F11-F12</f>
        <v>15451.667377</v>
      </c>
      <c r="G13" s="36" t="n">
        <f aca="false">G10+G11-G12</f>
        <v>17349.02725379</v>
      </c>
      <c r="H13" s="36" t="n">
        <f aca="false">H10+H11-H12</f>
        <v>19552.0105372633</v>
      </c>
      <c r="I13" s="36" t="n">
        <f aca="false">I10+I11-I12</f>
        <v>22105.4098517609</v>
      </c>
      <c r="J13" s="36" t="n">
        <f aca="false">J10+J11-J12</f>
        <v>25060.7891767032</v>
      </c>
      <c r="K13" s="36" t="n">
        <f aca="false">K10+K11-K12</f>
        <v>28477.4970080272</v>
      </c>
      <c r="L13" s="36" t="n">
        <f aca="false">L10+L11-L12</f>
        <v>32423.8315413089</v>
      </c>
      <c r="M13" s="37" t="n">
        <f aca="false">M10+M11-M12</f>
        <v>36978.380755479</v>
      </c>
      <c r="N13" s="36" t="n">
        <f aca="false">N10+N11-N12</f>
        <v>42231.5636276259</v>
      </c>
      <c r="O13" s="36" t="n">
        <f aca="false">O10+O11-O12</f>
        <v>48287.4026426536</v>
      </c>
      <c r="P13" s="36" t="n">
        <f aca="false">P10+P11-P12</f>
        <v>55265.5622863912</v>
      </c>
      <c r="Q13" s="36" t="n">
        <f aca="false">Q10+Q11-Q12</f>
        <v>63303.6934143225</v>
      </c>
      <c r="R13" s="36" t="n">
        <f aca="false">R10+R11-R12</f>
        <v>72560.1293721949</v>
      </c>
      <c r="S13" s="36" t="n">
        <f aca="false">S10+S11-S12</f>
        <v>83216.9866264619</v>
      </c>
      <c r="T13" s="36" t="n">
        <f aca="false">T10+T11-T12</f>
        <v>95483.7305764471</v>
      </c>
      <c r="U13" s="36" t="n">
        <f aca="false">U10+U11-U12</f>
        <v>109601.276321129</v>
      </c>
      <c r="V13" s="36" t="n">
        <f aca="false">V10+V11-V12</f>
        <v>125846.704619603</v>
      </c>
      <c r="W13" s="36" t="n">
        <f aca="false">W10+W11-W12</f>
        <v>144538.685320333</v>
      </c>
      <c r="X13" s="36" t="n">
        <f aca="false">X10+X11-X12</f>
        <v>166043.714375782</v>
      </c>
      <c r="Y13" s="37" t="n">
        <f aca="false">Y10+Y11-Y12</f>
        <v>190783.286476679</v>
      </c>
      <c r="Z13" s="36" t="n">
        <f aca="false">Z10+Z11-Z12</f>
        <v>219242.143645484</v>
      </c>
      <c r="AA13" s="36" t="n">
        <f aca="false">AA10+AA11-AA12</f>
        <v>251977.761179745</v>
      </c>
      <c r="AB13" s="36" t="n">
        <f aca="false">AB10+AB11-AB12</f>
        <v>289631.256544773</v>
      </c>
      <c r="AC13" s="36" t="n">
        <f aca="false">AC10+AC11-AC12</f>
        <v>332939.934655151</v>
      </c>
      <c r="AD13" s="36" t="n">
        <f aca="false">AD10+AD11-AD12</f>
        <v>382751.715000654</v>
      </c>
      <c r="AE13" s="36" t="n">
        <f aca="false">AE10+AE11-AE12</f>
        <v>440041.72289062</v>
      </c>
      <c r="AF13" s="36" t="n">
        <f aca="false">AF10+AF11-AF12</f>
        <v>505931.369432088</v>
      </c>
      <c r="AG13" s="36" t="n">
        <f aca="false">AG10+AG11-AG12</f>
        <v>581710.293549382</v>
      </c>
      <c r="AH13" s="36" t="n">
        <f aca="false">AH10+AH11-AH12</f>
        <v>668861.595349146</v>
      </c>
      <c r="AI13" s="36" t="n">
        <f aca="false">AI10+AI11-AI12</f>
        <v>769090.854530507</v>
      </c>
      <c r="AJ13" s="36" t="n">
        <f aca="false">AJ10+AJ11-AJ12</f>
        <v>884359.501595123</v>
      </c>
      <c r="AK13" s="37" t="n">
        <f aca="false">AK10+AK11-AK12</f>
        <v>1016923.19477518</v>
      </c>
    </row>
    <row r="14" customFormat="false" ht="15.75" hidden="false" customHeight="true" outlineLevel="0" collapsed="false">
      <c r="A14" s="38" t="s">
        <v>148</v>
      </c>
      <c r="B14" s="39" t="n">
        <f aca="false">Assumptions!$B$15+B13</f>
        <v>19700</v>
      </c>
      <c r="C14" s="39" t="n">
        <f aca="false">B14+C13</f>
        <v>30919</v>
      </c>
      <c r="D14" s="39" t="n">
        <f aca="false">C14+D13</f>
        <v>43342.13</v>
      </c>
      <c r="E14" s="39" t="n">
        <f aca="false">D14+E13</f>
        <v>57163.1551</v>
      </c>
      <c r="F14" s="39" t="n">
        <f aca="false">E14+F13</f>
        <v>72614.822477</v>
      </c>
      <c r="G14" s="39" t="n">
        <f aca="false">F14+G13</f>
        <v>89963.84973079</v>
      </c>
      <c r="H14" s="39" t="n">
        <f aca="false">G14+H13</f>
        <v>109515.860268053</v>
      </c>
      <c r="I14" s="39" t="n">
        <f aca="false">H14+I13</f>
        <v>131621.270119814</v>
      </c>
      <c r="J14" s="39" t="n">
        <f aca="false">I14+J13</f>
        <v>156682.059296517</v>
      </c>
      <c r="K14" s="39" t="n">
        <f aca="false">J14+K13</f>
        <v>185159.556304545</v>
      </c>
      <c r="L14" s="39" t="n">
        <f aca="false">K14+L13</f>
        <v>217583.387845853</v>
      </c>
      <c r="M14" s="40" t="n">
        <f aca="false">L14+M13</f>
        <v>254561.768601332</v>
      </c>
      <c r="N14" s="39" t="n">
        <f aca="false">M14+N13</f>
        <v>296793.332228958</v>
      </c>
      <c r="O14" s="39" t="n">
        <f aca="false">N14+O13</f>
        <v>345080.734871612</v>
      </c>
      <c r="P14" s="39" t="n">
        <f aca="false">O14+P13</f>
        <v>400346.297158003</v>
      </c>
      <c r="Q14" s="39" t="n">
        <f aca="false">P14+Q13</f>
        <v>463649.990572326</v>
      </c>
      <c r="R14" s="39" t="n">
        <f aca="false">Q14+R13</f>
        <v>536210.11994452</v>
      </c>
      <c r="S14" s="39" t="n">
        <f aca="false">R14+S13</f>
        <v>619427.106570982</v>
      </c>
      <c r="T14" s="39" t="n">
        <f aca="false">S14+T13</f>
        <v>714910.837147429</v>
      </c>
      <c r="U14" s="39" t="n">
        <f aca="false">T14+U13</f>
        <v>824512.113468558</v>
      </c>
      <c r="V14" s="39" t="n">
        <f aca="false">U14+V13</f>
        <v>950358.818088161</v>
      </c>
      <c r="W14" s="39" t="n">
        <f aca="false">V14+W13</f>
        <v>1094897.50340849</v>
      </c>
      <c r="X14" s="39" t="n">
        <f aca="false">W14+X13</f>
        <v>1260941.21778428</v>
      </c>
      <c r="Y14" s="40" t="n">
        <f aca="false">X14+Y13</f>
        <v>1451724.50426096</v>
      </c>
      <c r="Z14" s="39" t="n">
        <f aca="false">Y14+Z13</f>
        <v>1670966.64790644</v>
      </c>
      <c r="AA14" s="39" t="n">
        <f aca="false">Z14+AA13</f>
        <v>1922944.40908618</v>
      </c>
      <c r="AB14" s="39" t="n">
        <f aca="false">AA14+AB13</f>
        <v>2212575.66563096</v>
      </c>
      <c r="AC14" s="39" t="n">
        <f aca="false">AB14+AC13</f>
        <v>2545515.60028611</v>
      </c>
      <c r="AD14" s="39" t="n">
        <f aca="false">AC14+AD13</f>
        <v>2928267.31528676</v>
      </c>
      <c r="AE14" s="39" t="n">
        <f aca="false">AD14+AE13</f>
        <v>3368309.03817738</v>
      </c>
      <c r="AF14" s="39" t="n">
        <f aca="false">AE14+AF13</f>
        <v>3874240.40760947</v>
      </c>
      <c r="AG14" s="39" t="n">
        <f aca="false">AF14+AG13</f>
        <v>4455950.70115885</v>
      </c>
      <c r="AH14" s="39" t="n">
        <f aca="false">AG14+AH13</f>
        <v>5124812.296508</v>
      </c>
      <c r="AI14" s="39" t="n">
        <f aca="false">AH14+AI13</f>
        <v>5893903.15103851</v>
      </c>
      <c r="AJ14" s="39" t="n">
        <f aca="false">AI14+AJ13</f>
        <v>6778262.65263363</v>
      </c>
      <c r="AK14" s="40" t="n">
        <f aca="false">AJ14+AK13</f>
        <v>7795185.84740881</v>
      </c>
    </row>
    <row r="15" customFormat="false" ht="6" hidden="false" customHeight="true" outlineLevel="0" collapsed="false">
      <c r="M15" s="33"/>
      <c r="Y15" s="33"/>
      <c r="AK15" s="33"/>
    </row>
    <row r="16" customFormat="false" ht="18" hidden="false" customHeight="true" outlineLevel="0" collapsed="false">
      <c r="A16" s="15" t="s">
        <v>149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2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2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26"/>
    </row>
    <row r="17" customFormat="false" ht="15.75" hidden="false" customHeight="true" outlineLevel="0" collapsed="false">
      <c r="A17" s="27" t="s">
        <v>150</v>
      </c>
      <c r="B17" s="34" t="n">
        <f aca="false">B14</f>
        <v>19700</v>
      </c>
      <c r="C17" s="34" t="n">
        <f aca="false">C14</f>
        <v>30919</v>
      </c>
      <c r="D17" s="34" t="n">
        <f aca="false">D14</f>
        <v>43342.13</v>
      </c>
      <c r="E17" s="34" t="n">
        <f aca="false">E14</f>
        <v>57163.1551</v>
      </c>
      <c r="F17" s="34" t="n">
        <f aca="false">F14</f>
        <v>72614.822477</v>
      </c>
      <c r="G17" s="34" t="n">
        <f aca="false">G14</f>
        <v>89963.84973079</v>
      </c>
      <c r="H17" s="34" t="n">
        <f aca="false">H14</f>
        <v>109515.860268053</v>
      </c>
      <c r="I17" s="34" t="n">
        <f aca="false">I14</f>
        <v>131621.270119814</v>
      </c>
      <c r="J17" s="34" t="n">
        <f aca="false">J14</f>
        <v>156682.059296517</v>
      </c>
      <c r="K17" s="34" t="n">
        <f aca="false">K14</f>
        <v>185159.556304545</v>
      </c>
      <c r="L17" s="34" t="n">
        <f aca="false">L14</f>
        <v>217583.387845853</v>
      </c>
      <c r="M17" s="35" t="n">
        <f aca="false">M14</f>
        <v>254561.768601332</v>
      </c>
      <c r="N17" s="34" t="n">
        <f aca="false">N14</f>
        <v>296793.332228958</v>
      </c>
      <c r="O17" s="34" t="n">
        <f aca="false">O14</f>
        <v>345080.734871612</v>
      </c>
      <c r="P17" s="34" t="n">
        <f aca="false">P14</f>
        <v>400346.297158003</v>
      </c>
      <c r="Q17" s="34" t="n">
        <f aca="false">Q14</f>
        <v>463649.990572326</v>
      </c>
      <c r="R17" s="34" t="n">
        <f aca="false">R14</f>
        <v>536210.11994452</v>
      </c>
      <c r="S17" s="34" t="n">
        <f aca="false">S14</f>
        <v>619427.106570982</v>
      </c>
      <c r="T17" s="34" t="n">
        <f aca="false">T14</f>
        <v>714910.837147429</v>
      </c>
      <c r="U17" s="34" t="n">
        <f aca="false">U14</f>
        <v>824512.113468558</v>
      </c>
      <c r="V17" s="34" t="n">
        <f aca="false">V14</f>
        <v>950358.818088161</v>
      </c>
      <c r="W17" s="34" t="n">
        <f aca="false">W14</f>
        <v>1094897.50340849</v>
      </c>
      <c r="X17" s="34" t="n">
        <f aca="false">X14</f>
        <v>1260941.21778428</v>
      </c>
      <c r="Y17" s="35" t="n">
        <f aca="false">Y14</f>
        <v>1451724.50426096</v>
      </c>
      <c r="Z17" s="34" t="n">
        <f aca="false">Z14</f>
        <v>1670966.64790644</v>
      </c>
      <c r="AA17" s="34" t="n">
        <f aca="false">AA14</f>
        <v>1922944.40908618</v>
      </c>
      <c r="AB17" s="34" t="n">
        <f aca="false">AB14</f>
        <v>2212575.66563096</v>
      </c>
      <c r="AC17" s="34" t="n">
        <f aca="false">AC14</f>
        <v>2545515.60028611</v>
      </c>
      <c r="AD17" s="34" t="n">
        <f aca="false">AD14</f>
        <v>2928267.31528676</v>
      </c>
      <c r="AE17" s="34" t="n">
        <f aca="false">AE14</f>
        <v>3368309.03817738</v>
      </c>
      <c r="AF17" s="34" t="n">
        <f aca="false">AF14</f>
        <v>3874240.40760947</v>
      </c>
      <c r="AG17" s="34" t="n">
        <f aca="false">AG14</f>
        <v>4455950.70115885</v>
      </c>
      <c r="AH17" s="34" t="n">
        <f aca="false">AH14</f>
        <v>5124812.296508</v>
      </c>
      <c r="AI17" s="34" t="n">
        <f aca="false">AI14</f>
        <v>5893903.15103851</v>
      </c>
      <c r="AJ17" s="34" t="n">
        <f aca="false">AJ14</f>
        <v>6778262.65263363</v>
      </c>
      <c r="AK17" s="35" t="n">
        <f aca="false">AK14</f>
        <v>7795185.84740881</v>
      </c>
    </row>
    <row r="18" customFormat="false" ht="15.75" hidden="false" customHeight="true" outlineLevel="0" collapsed="false">
      <c r="A18" s="27" t="s">
        <v>151</v>
      </c>
      <c r="B18" s="34" t="n">
        <f aca="false">B17</f>
        <v>19700</v>
      </c>
      <c r="C18" s="34" t="n">
        <f aca="false">B18+C17</f>
        <v>50619</v>
      </c>
      <c r="D18" s="34" t="n">
        <f aca="false">C18+D17</f>
        <v>93961.13</v>
      </c>
      <c r="E18" s="34" t="n">
        <f aca="false">D18+E17</f>
        <v>151124.2851</v>
      </c>
      <c r="F18" s="34" t="n">
        <f aca="false">E18+F17</f>
        <v>223739.107577</v>
      </c>
      <c r="G18" s="34" t="n">
        <f aca="false">F18+G17</f>
        <v>313702.95730779</v>
      </c>
      <c r="H18" s="34" t="n">
        <f aca="false">G18+H17</f>
        <v>423218.817575843</v>
      </c>
      <c r="I18" s="34" t="n">
        <f aca="false">H18+I17</f>
        <v>554840.087695657</v>
      </c>
      <c r="J18" s="34" t="n">
        <f aca="false">I18+J17</f>
        <v>711522.146992175</v>
      </c>
      <c r="K18" s="34" t="n">
        <f aca="false">J18+K17</f>
        <v>896681.703296719</v>
      </c>
      <c r="L18" s="34" t="n">
        <f aca="false">K18+L17</f>
        <v>1114265.09114257</v>
      </c>
      <c r="M18" s="35" t="n">
        <f aca="false">L18+M17</f>
        <v>1368826.8597439</v>
      </c>
      <c r="N18" s="34" t="n">
        <f aca="false">M18+N17</f>
        <v>1665620.19197286</v>
      </c>
      <c r="O18" s="34" t="n">
        <f aca="false">N18+O17</f>
        <v>2010700.92684447</v>
      </c>
      <c r="P18" s="34" t="n">
        <f aca="false">O18+P17</f>
        <v>2411047.22400248</v>
      </c>
      <c r="Q18" s="34" t="n">
        <f aca="false">P18+Q17</f>
        <v>2874697.2145748</v>
      </c>
      <c r="R18" s="34" t="n">
        <f aca="false">Q18+R17</f>
        <v>3410907.33451932</v>
      </c>
      <c r="S18" s="34" t="n">
        <f aca="false">R18+S17</f>
        <v>4030334.44109031</v>
      </c>
      <c r="T18" s="34" t="n">
        <f aca="false">S18+T17</f>
        <v>4745245.27823774</v>
      </c>
      <c r="U18" s="34" t="n">
        <f aca="false">T18+U17</f>
        <v>5569757.39170629</v>
      </c>
      <c r="V18" s="34" t="n">
        <f aca="false">U18+V17</f>
        <v>6520116.20979446</v>
      </c>
      <c r="W18" s="34" t="n">
        <f aca="false">V18+W17</f>
        <v>7615013.71320295</v>
      </c>
      <c r="X18" s="34" t="n">
        <f aca="false">W18+X17</f>
        <v>8875954.93098723</v>
      </c>
      <c r="Y18" s="35" t="n">
        <f aca="false">X18+Y17</f>
        <v>10327679.4352482</v>
      </c>
      <c r="Z18" s="34" t="n">
        <f aca="false">Y18+Z17</f>
        <v>11998646.0831546</v>
      </c>
      <c r="AA18" s="34" t="n">
        <f aca="false">Z18+AA17</f>
        <v>13921590.4922408</v>
      </c>
      <c r="AB18" s="34" t="n">
        <f aca="false">AA18+AB17</f>
        <v>16134166.1578718</v>
      </c>
      <c r="AC18" s="34" t="n">
        <f aca="false">AB18+AC17</f>
        <v>18679681.7581579</v>
      </c>
      <c r="AD18" s="34" t="n">
        <f aca="false">AC18+AD17</f>
        <v>21607949.0734446</v>
      </c>
      <c r="AE18" s="34" t="n">
        <f aca="false">AD18+AE17</f>
        <v>24976258.111622</v>
      </c>
      <c r="AF18" s="34" t="n">
        <f aca="false">AE18+AF17</f>
        <v>28850498.5192315</v>
      </c>
      <c r="AG18" s="34" t="n">
        <f aca="false">AF18+AG17</f>
        <v>33306449.2203903</v>
      </c>
      <c r="AH18" s="34" t="n">
        <f aca="false">AG18+AH17</f>
        <v>38431261.5168983</v>
      </c>
      <c r="AI18" s="34" t="n">
        <f aca="false">AH18+AI17</f>
        <v>44325164.6679368</v>
      </c>
      <c r="AJ18" s="34" t="n">
        <f aca="false">AI18+AJ17</f>
        <v>51103427.3205705</v>
      </c>
      <c r="AK18" s="35" t="n">
        <f aca="false">AJ18+AK17</f>
        <v>58898613.1679793</v>
      </c>
    </row>
    <row r="19" customFormat="false" ht="15.75" hidden="false" customHeight="true" outlineLevel="0" collapsed="false">
      <c r="A19" s="38" t="s">
        <v>152</v>
      </c>
      <c r="B19" s="39" t="n">
        <f aca="false">B14*12</f>
        <v>236400</v>
      </c>
      <c r="C19" s="39" t="n">
        <f aca="false">C14*12</f>
        <v>371028</v>
      </c>
      <c r="D19" s="39" t="n">
        <f aca="false">D14*12</f>
        <v>520105.56</v>
      </c>
      <c r="E19" s="39" t="n">
        <f aca="false">E14*12</f>
        <v>685957.8612</v>
      </c>
      <c r="F19" s="39" t="n">
        <f aca="false">F14*12</f>
        <v>871377.869724</v>
      </c>
      <c r="G19" s="39" t="n">
        <f aca="false">G14*12</f>
        <v>1079566.19676948</v>
      </c>
      <c r="H19" s="39" t="n">
        <f aca="false">H14*12</f>
        <v>1314190.32321664</v>
      </c>
      <c r="I19" s="39" t="n">
        <f aca="false">I14*12</f>
        <v>1579455.24143777</v>
      </c>
      <c r="J19" s="39" t="n">
        <f aca="false">J14*12</f>
        <v>1880184.71155821</v>
      </c>
      <c r="K19" s="39" t="n">
        <f aca="false">K14*12</f>
        <v>2221914.67565453</v>
      </c>
      <c r="L19" s="39" t="n">
        <f aca="false">L14*12</f>
        <v>2611000.65415024</v>
      </c>
      <c r="M19" s="40" t="n">
        <f aca="false">M14*12</f>
        <v>3054741.22321599</v>
      </c>
      <c r="N19" s="39" t="n">
        <f aca="false">N14*12</f>
        <v>3561519.9867475</v>
      </c>
      <c r="O19" s="39" t="n">
        <f aca="false">O14*12</f>
        <v>4140968.81845934</v>
      </c>
      <c r="P19" s="39" t="n">
        <f aca="false">P14*12</f>
        <v>4804155.56589604</v>
      </c>
      <c r="Q19" s="39" t="n">
        <f aca="false">Q14*12</f>
        <v>5563799.88686791</v>
      </c>
      <c r="R19" s="39" t="n">
        <f aca="false">R14*12</f>
        <v>6434521.43933424</v>
      </c>
      <c r="S19" s="39" t="n">
        <f aca="false">S14*12</f>
        <v>7433125.27885179</v>
      </c>
      <c r="T19" s="39" t="n">
        <f aca="false">T14*12</f>
        <v>8578930.04576915</v>
      </c>
      <c r="U19" s="39" t="n">
        <f aca="false">U14*12</f>
        <v>9894145.3616227</v>
      </c>
      <c r="V19" s="39" t="n">
        <f aca="false">V14*12</f>
        <v>11404305.8170579</v>
      </c>
      <c r="W19" s="39" t="n">
        <f aca="false">W14*12</f>
        <v>13138770.0409019</v>
      </c>
      <c r="X19" s="39" t="n">
        <f aca="false">X14*12</f>
        <v>15131294.6134113</v>
      </c>
      <c r="Y19" s="40" t="n">
        <f aca="false">Y14*12</f>
        <v>17420694.0511315</v>
      </c>
      <c r="Z19" s="39" t="n">
        <f aca="false">Z14*12</f>
        <v>20051599.7748773</v>
      </c>
      <c r="AA19" s="39" t="n">
        <f aca="false">AA14*12</f>
        <v>23075332.9090342</v>
      </c>
      <c r="AB19" s="39" t="n">
        <f aca="false">AB14*12</f>
        <v>26550907.9875715</v>
      </c>
      <c r="AC19" s="39" t="n">
        <f aca="false">AC14*12</f>
        <v>30546187.2034333</v>
      </c>
      <c r="AD19" s="39" t="n">
        <f aca="false">AD14*12</f>
        <v>35139207.7834411</v>
      </c>
      <c r="AE19" s="39" t="n">
        <f aca="false">AE14*12</f>
        <v>40419708.4581286</v>
      </c>
      <c r="AF19" s="39" t="n">
        <f aca="false">AF14*12</f>
        <v>46490884.8913136</v>
      </c>
      <c r="AG19" s="39" t="n">
        <f aca="false">AG14*12</f>
        <v>53471408.4139062</v>
      </c>
      <c r="AH19" s="39" t="n">
        <f aca="false">AH14*12</f>
        <v>61497747.558096</v>
      </c>
      <c r="AI19" s="39" t="n">
        <f aca="false">AI14*12</f>
        <v>70726837.8124621</v>
      </c>
      <c r="AJ19" s="39" t="n">
        <f aca="false">AJ14*12</f>
        <v>81339151.8316035</v>
      </c>
      <c r="AK19" s="40" t="n">
        <f aca="false">AK14*12</f>
        <v>93542230.1689057</v>
      </c>
    </row>
    <row r="20" customFormat="false" ht="6" hidden="false" customHeight="true" outlineLevel="0" collapsed="false">
      <c r="M20" s="33"/>
      <c r="Y20" s="33"/>
      <c r="AK20" s="33"/>
    </row>
    <row r="22" customFormat="false" ht="15" hidden="false" customHeight="false" outlineLevel="0" collapsed="false">
      <c r="A22" s="22" t="s">
        <v>99</v>
      </c>
      <c r="B22" s="22"/>
      <c r="C22" s="22"/>
      <c r="D22" s="22"/>
      <c r="E22" s="22"/>
      <c r="F22" s="22"/>
      <c r="G22" s="22"/>
      <c r="H22" s="22"/>
    </row>
  </sheetData>
  <mergeCells count="2">
    <mergeCell ref="A1:M1"/>
    <mergeCell ref="A22:H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2BBEB"/>
    <pageSetUpPr fitToPage="true"/>
  </sheetPr>
  <dimension ref="A1:AK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37" min="2" style="0" width="11"/>
  </cols>
  <sheetData>
    <row r="1" customFormat="false" ht="30" hidden="false" customHeight="true" outlineLevel="0" collapsed="false">
      <c r="A1" s="13" t="s">
        <v>153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</row>
    <row r="2" customFormat="false" ht="19.5" hidden="false" customHeight="true" outlineLevel="0" collapsed="false">
      <c r="A2" s="23" t="s">
        <v>154</v>
      </c>
      <c r="B2" s="24" t="s">
        <v>102</v>
      </c>
      <c r="C2" s="24" t="s">
        <v>103</v>
      </c>
      <c r="D2" s="24" t="s">
        <v>104</v>
      </c>
      <c r="E2" s="24" t="s">
        <v>105</v>
      </c>
      <c r="F2" s="24" t="s">
        <v>106</v>
      </c>
      <c r="G2" s="24" t="s">
        <v>107</v>
      </c>
      <c r="H2" s="24" t="s">
        <v>108</v>
      </c>
      <c r="I2" s="24" t="s">
        <v>109</v>
      </c>
      <c r="J2" s="24" t="s">
        <v>110</v>
      </c>
      <c r="K2" s="24" t="s">
        <v>111</v>
      </c>
      <c r="L2" s="24" t="s">
        <v>112</v>
      </c>
      <c r="M2" s="25" t="s">
        <v>113</v>
      </c>
      <c r="N2" s="24" t="s">
        <v>114</v>
      </c>
      <c r="O2" s="24" t="s">
        <v>115</v>
      </c>
      <c r="P2" s="24" t="s">
        <v>116</v>
      </c>
      <c r="Q2" s="24" t="s">
        <v>117</v>
      </c>
      <c r="R2" s="24" t="s">
        <v>118</v>
      </c>
      <c r="S2" s="24" t="s">
        <v>119</v>
      </c>
      <c r="T2" s="24" t="s">
        <v>120</v>
      </c>
      <c r="U2" s="24" t="s">
        <v>121</v>
      </c>
      <c r="V2" s="24" t="s">
        <v>122</v>
      </c>
      <c r="W2" s="24" t="s">
        <v>123</v>
      </c>
      <c r="X2" s="24" t="s">
        <v>124</v>
      </c>
      <c r="Y2" s="25" t="s">
        <v>125</v>
      </c>
      <c r="Z2" s="24" t="s">
        <v>126</v>
      </c>
      <c r="AA2" s="24" t="s">
        <v>127</v>
      </c>
      <c r="AB2" s="24" t="s">
        <v>128</v>
      </c>
      <c r="AC2" s="24" t="s">
        <v>129</v>
      </c>
      <c r="AD2" s="24" t="s">
        <v>130</v>
      </c>
      <c r="AE2" s="24" t="s">
        <v>131</v>
      </c>
      <c r="AF2" s="24" t="s">
        <v>132</v>
      </c>
      <c r="AG2" s="24" t="s">
        <v>133</v>
      </c>
      <c r="AH2" s="24" t="s">
        <v>134</v>
      </c>
      <c r="AI2" s="24" t="s">
        <v>135</v>
      </c>
      <c r="AJ2" s="24" t="s">
        <v>136</v>
      </c>
      <c r="AK2" s="25" t="s">
        <v>137</v>
      </c>
    </row>
    <row r="3" customFormat="false" ht="18" hidden="false" customHeight="true" outlineLevel="0" collapsed="false">
      <c r="A3" s="15" t="s">
        <v>155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2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2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26"/>
    </row>
    <row r="4" customFormat="false" ht="15.75" hidden="false" customHeight="true" outlineLevel="0" collapsed="false">
      <c r="A4" s="27" t="s">
        <v>156</v>
      </c>
      <c r="B4" s="34" t="n">
        <f aca="false">'Revenue Model'!B17*Assumptions!$B$26</f>
        <v>3940</v>
      </c>
      <c r="C4" s="34" t="n">
        <f aca="false">'Revenue Model'!C17*Assumptions!$B$26</f>
        <v>6183.8</v>
      </c>
      <c r="D4" s="34" t="n">
        <f aca="false">'Revenue Model'!D17*Assumptions!$B$26</f>
        <v>8668.426</v>
      </c>
      <c r="E4" s="34" t="n">
        <f aca="false">'Revenue Model'!E17*Assumptions!$B$26</f>
        <v>11432.63102</v>
      </c>
      <c r="F4" s="34" t="n">
        <f aca="false">'Revenue Model'!F17*Assumptions!$B$26</f>
        <v>14522.9644954</v>
      </c>
      <c r="G4" s="34" t="n">
        <f aca="false">'Revenue Model'!G17*Assumptions!$B$26</f>
        <v>17992.769946158</v>
      </c>
      <c r="H4" s="34" t="n">
        <f aca="false">'Revenue Model'!H17*Assumptions!$B$26</f>
        <v>21903.1720536107</v>
      </c>
      <c r="I4" s="34" t="n">
        <f aca="false">'Revenue Model'!I17*Assumptions!$B$26</f>
        <v>26324.2540239628</v>
      </c>
      <c r="J4" s="34" t="n">
        <f aca="false">'Revenue Model'!J17*Assumptions!$B$26</f>
        <v>31336.4118593035</v>
      </c>
      <c r="K4" s="34" t="n">
        <f aca="false">'Revenue Model'!K17*Assumptions!$B$26</f>
        <v>37031.9112609089</v>
      </c>
      <c r="L4" s="34" t="n">
        <f aca="false">'Revenue Model'!L17*Assumptions!$B$26</f>
        <v>43516.6775691707</v>
      </c>
      <c r="M4" s="35" t="n">
        <f aca="false">'Revenue Model'!M17*Assumptions!$B$26</f>
        <v>50912.3537202665</v>
      </c>
      <c r="N4" s="34" t="n">
        <f aca="false">'Revenue Model'!N17*Assumptions!$B$26</f>
        <v>59358.6664457917</v>
      </c>
      <c r="O4" s="34" t="n">
        <f aca="false">'Revenue Model'!O17*Assumptions!$B$26</f>
        <v>69016.1469743224</v>
      </c>
      <c r="P4" s="34" t="n">
        <f aca="false">'Revenue Model'!P17*Assumptions!$B$26</f>
        <v>80069.2594316006</v>
      </c>
      <c r="Q4" s="34" t="n">
        <f aca="false">'Revenue Model'!Q17*Assumptions!$B$26</f>
        <v>92729.9981144651</v>
      </c>
      <c r="R4" s="34" t="n">
        <f aca="false">'Revenue Model'!R17*Assumptions!$B$26</f>
        <v>107242.023988904</v>
      </c>
      <c r="S4" s="34" t="n">
        <f aca="false">'Revenue Model'!S17*Assumptions!$B$26</f>
        <v>123885.421314196</v>
      </c>
      <c r="T4" s="34" t="n">
        <f aca="false">'Revenue Model'!T17*Assumptions!$B$26</f>
        <v>142982.167429486</v>
      </c>
      <c r="U4" s="34" t="n">
        <f aca="false">'Revenue Model'!U17*Assumptions!$B$26</f>
        <v>164902.422693712</v>
      </c>
      <c r="V4" s="34" t="n">
        <f aca="false">'Revenue Model'!V17*Assumptions!$B$26</f>
        <v>190071.763617632</v>
      </c>
      <c r="W4" s="34" t="n">
        <f aca="false">'Revenue Model'!W17*Assumptions!$B$26</f>
        <v>218979.500681699</v>
      </c>
      <c r="X4" s="34" t="n">
        <f aca="false">'Revenue Model'!X17*Assumptions!$B$26</f>
        <v>252188.243556855</v>
      </c>
      <c r="Y4" s="35" t="n">
        <f aca="false">'Revenue Model'!Y17*Assumptions!$B$26</f>
        <v>290344.900852191</v>
      </c>
      <c r="Z4" s="34" t="n">
        <f aca="false">'Revenue Model'!Z17*Assumptions!$B$26</f>
        <v>334193.329581288</v>
      </c>
      <c r="AA4" s="34" t="n">
        <f aca="false">'Revenue Model'!AA17*Assumptions!$B$26</f>
        <v>384588.881817237</v>
      </c>
      <c r="AB4" s="34" t="n">
        <f aca="false">'Revenue Model'!AB17*Assumptions!$B$26</f>
        <v>442515.133126191</v>
      </c>
      <c r="AC4" s="34" t="n">
        <f aca="false">'Revenue Model'!AC17*Assumptions!$B$26</f>
        <v>509103.120057222</v>
      </c>
      <c r="AD4" s="34" t="n">
        <f aca="false">'Revenue Model'!AD17*Assumptions!$B$26</f>
        <v>585653.463057353</v>
      </c>
      <c r="AE4" s="34" t="n">
        <f aca="false">'Revenue Model'!AE17*Assumptions!$B$26</f>
        <v>673661.807635477</v>
      </c>
      <c r="AF4" s="34" t="n">
        <f aca="false">'Revenue Model'!AF17*Assumptions!$B$26</f>
        <v>774848.081521894</v>
      </c>
      <c r="AG4" s="34" t="n">
        <f aca="false">'Revenue Model'!AG17*Assumptions!$B$26</f>
        <v>891190.140231771</v>
      </c>
      <c r="AH4" s="34" t="n">
        <f aca="false">'Revenue Model'!AH17*Assumptions!$B$26</f>
        <v>1024962.4593016</v>
      </c>
      <c r="AI4" s="34" t="n">
        <f aca="false">'Revenue Model'!AI17*Assumptions!$B$26</f>
        <v>1178780.6302077</v>
      </c>
      <c r="AJ4" s="34" t="n">
        <f aca="false">'Revenue Model'!AJ17*Assumptions!$B$26</f>
        <v>1355652.53052673</v>
      </c>
      <c r="AK4" s="35" t="n">
        <f aca="false">'Revenue Model'!AK17*Assumptions!$B$26</f>
        <v>1559037.16948176</v>
      </c>
    </row>
    <row r="5" customFormat="false" ht="15.75" hidden="false" customHeight="true" outlineLevel="0" collapsed="false">
      <c r="A5" s="27" t="s">
        <v>157</v>
      </c>
      <c r="B5" s="34" t="n">
        <f aca="false">'Revenue Model'!B17*Assumptions!$B$27</f>
        <v>1970</v>
      </c>
      <c r="C5" s="34" t="n">
        <f aca="false">'Revenue Model'!C17*Assumptions!$B$27</f>
        <v>3091.9</v>
      </c>
      <c r="D5" s="34" t="n">
        <f aca="false">'Revenue Model'!D17*Assumptions!$B$27</f>
        <v>4334.213</v>
      </c>
      <c r="E5" s="34" t="n">
        <f aca="false">'Revenue Model'!E17*Assumptions!$B$27</f>
        <v>5716.31551</v>
      </c>
      <c r="F5" s="34" t="n">
        <f aca="false">'Revenue Model'!F17*Assumptions!$B$27</f>
        <v>7261.4822477</v>
      </c>
      <c r="G5" s="34" t="n">
        <f aca="false">'Revenue Model'!G17*Assumptions!$B$27</f>
        <v>8996.384973079</v>
      </c>
      <c r="H5" s="34" t="n">
        <f aca="false">'Revenue Model'!H17*Assumptions!$B$27</f>
        <v>10951.5860268053</v>
      </c>
      <c r="I5" s="34" t="n">
        <f aca="false">'Revenue Model'!I17*Assumptions!$B$27</f>
        <v>13162.1270119814</v>
      </c>
      <c r="J5" s="34" t="n">
        <f aca="false">'Revenue Model'!J17*Assumptions!$B$27</f>
        <v>15668.2059296517</v>
      </c>
      <c r="K5" s="34" t="n">
        <f aca="false">'Revenue Model'!K17*Assumptions!$B$27</f>
        <v>18515.9556304545</v>
      </c>
      <c r="L5" s="34" t="n">
        <f aca="false">'Revenue Model'!L17*Assumptions!$B$27</f>
        <v>21758.3387845853</v>
      </c>
      <c r="M5" s="35" t="n">
        <f aca="false">'Revenue Model'!M17*Assumptions!$B$27</f>
        <v>25456.1768601332</v>
      </c>
      <c r="N5" s="34" t="n">
        <f aca="false">'Revenue Model'!N17*Assumptions!$B$27</f>
        <v>29679.3332228958</v>
      </c>
      <c r="O5" s="34" t="n">
        <f aca="false">'Revenue Model'!O17*Assumptions!$B$27</f>
        <v>34508.0734871612</v>
      </c>
      <c r="P5" s="34" t="n">
        <f aca="false">'Revenue Model'!P17*Assumptions!$B$27</f>
        <v>40034.6297158003</v>
      </c>
      <c r="Q5" s="34" t="n">
        <f aca="false">'Revenue Model'!Q17*Assumptions!$B$27</f>
        <v>46364.9990572326</v>
      </c>
      <c r="R5" s="34" t="n">
        <f aca="false">'Revenue Model'!R17*Assumptions!$B$27</f>
        <v>53621.011994452</v>
      </c>
      <c r="S5" s="34" t="n">
        <f aca="false">'Revenue Model'!S17*Assumptions!$B$27</f>
        <v>61942.7106570982</v>
      </c>
      <c r="T5" s="34" t="n">
        <f aca="false">'Revenue Model'!T17*Assumptions!$B$27</f>
        <v>71491.0837147429</v>
      </c>
      <c r="U5" s="34" t="n">
        <f aca="false">'Revenue Model'!U17*Assumptions!$B$27</f>
        <v>82451.2113468559</v>
      </c>
      <c r="V5" s="34" t="n">
        <f aca="false">'Revenue Model'!V17*Assumptions!$B$27</f>
        <v>95035.8818088162</v>
      </c>
      <c r="W5" s="34" t="n">
        <f aca="false">'Revenue Model'!W17*Assumptions!$B$27</f>
        <v>109489.750340849</v>
      </c>
      <c r="X5" s="34" t="n">
        <f aca="false">'Revenue Model'!X17*Assumptions!$B$27</f>
        <v>126094.121778428</v>
      </c>
      <c r="Y5" s="35" t="n">
        <f aca="false">'Revenue Model'!Y17*Assumptions!$B$27</f>
        <v>145172.450426096</v>
      </c>
      <c r="Z5" s="34" t="n">
        <f aca="false">'Revenue Model'!Z17*Assumptions!$B$27</f>
        <v>167096.664790644</v>
      </c>
      <c r="AA5" s="34" t="n">
        <f aca="false">'Revenue Model'!AA17*Assumptions!$B$27</f>
        <v>192294.440908618</v>
      </c>
      <c r="AB5" s="34" t="n">
        <f aca="false">'Revenue Model'!AB17*Assumptions!$B$27</f>
        <v>221257.566563096</v>
      </c>
      <c r="AC5" s="34" t="n">
        <f aca="false">'Revenue Model'!AC17*Assumptions!$B$27</f>
        <v>254551.560028611</v>
      </c>
      <c r="AD5" s="34" t="n">
        <f aca="false">'Revenue Model'!AD17*Assumptions!$B$27</f>
        <v>292826.731528676</v>
      </c>
      <c r="AE5" s="34" t="n">
        <f aca="false">'Revenue Model'!AE17*Assumptions!$B$27</f>
        <v>336830.903817738</v>
      </c>
      <c r="AF5" s="34" t="n">
        <f aca="false">'Revenue Model'!AF17*Assumptions!$B$27</f>
        <v>387424.040760947</v>
      </c>
      <c r="AG5" s="34" t="n">
        <f aca="false">'Revenue Model'!AG17*Assumptions!$B$27</f>
        <v>445595.070115885</v>
      </c>
      <c r="AH5" s="34" t="n">
        <f aca="false">'Revenue Model'!AH17*Assumptions!$B$27</f>
        <v>512481.2296508</v>
      </c>
      <c r="AI5" s="34" t="n">
        <f aca="false">'Revenue Model'!AI17*Assumptions!$B$27</f>
        <v>589390.315103851</v>
      </c>
      <c r="AJ5" s="34" t="n">
        <f aca="false">'Revenue Model'!AJ17*Assumptions!$B$27</f>
        <v>677826.265263363</v>
      </c>
      <c r="AK5" s="35" t="n">
        <f aca="false">'Revenue Model'!AK17*Assumptions!$B$27</f>
        <v>779518.584740881</v>
      </c>
    </row>
    <row r="6" customFormat="false" ht="15.75" hidden="false" customHeight="true" outlineLevel="0" collapsed="false">
      <c r="A6" s="30" t="s">
        <v>158</v>
      </c>
      <c r="B6" s="36" t="n">
        <f aca="false">B4+B5</f>
        <v>5910</v>
      </c>
      <c r="C6" s="36" t="n">
        <f aca="false">C4+C5</f>
        <v>9275.7</v>
      </c>
      <c r="D6" s="36" t="n">
        <f aca="false">D4+D5</f>
        <v>13002.639</v>
      </c>
      <c r="E6" s="36" t="n">
        <f aca="false">E4+E5</f>
        <v>17148.94653</v>
      </c>
      <c r="F6" s="36" t="n">
        <f aca="false">F4+F5</f>
        <v>21784.4467431</v>
      </c>
      <c r="G6" s="36" t="n">
        <f aca="false">G4+G5</f>
        <v>26989.154919237</v>
      </c>
      <c r="H6" s="36" t="n">
        <f aca="false">H4+H5</f>
        <v>32854.758080416</v>
      </c>
      <c r="I6" s="36" t="n">
        <f aca="false">I4+I5</f>
        <v>39486.3810359442</v>
      </c>
      <c r="J6" s="36" t="n">
        <f aca="false">J4+J5</f>
        <v>47004.6177889552</v>
      </c>
      <c r="K6" s="36" t="n">
        <f aca="false">K4+K5</f>
        <v>55547.8668913633</v>
      </c>
      <c r="L6" s="36" t="n">
        <f aca="false">L4+L5</f>
        <v>65275.016353756</v>
      </c>
      <c r="M6" s="37" t="n">
        <f aca="false">M4+M5</f>
        <v>76368.5305803997</v>
      </c>
      <c r="N6" s="36" t="n">
        <f aca="false">N4+N5</f>
        <v>89037.9996686875</v>
      </c>
      <c r="O6" s="36" t="n">
        <f aca="false">O4+O5</f>
        <v>103524.220461484</v>
      </c>
      <c r="P6" s="36" t="n">
        <f aca="false">P4+P5</f>
        <v>120103.889147401</v>
      </c>
      <c r="Q6" s="36" t="n">
        <f aca="false">Q4+Q5</f>
        <v>139094.997171698</v>
      </c>
      <c r="R6" s="36" t="n">
        <f aca="false">R4+R5</f>
        <v>160863.035983356</v>
      </c>
      <c r="S6" s="36" t="n">
        <f aca="false">S4+S5</f>
        <v>185828.131971295</v>
      </c>
      <c r="T6" s="36" t="n">
        <f aca="false">T4+T5</f>
        <v>214473.251144229</v>
      </c>
      <c r="U6" s="36" t="n">
        <f aca="false">U4+U5</f>
        <v>247353.634040568</v>
      </c>
      <c r="V6" s="36" t="n">
        <f aca="false">V4+V5</f>
        <v>285107.645426448</v>
      </c>
      <c r="W6" s="36" t="n">
        <f aca="false">W4+W5</f>
        <v>328469.251022548</v>
      </c>
      <c r="X6" s="36" t="n">
        <f aca="false">X4+X5</f>
        <v>378282.365335283</v>
      </c>
      <c r="Y6" s="37" t="n">
        <f aca="false">Y4+Y5</f>
        <v>435517.351278287</v>
      </c>
      <c r="Z6" s="36" t="n">
        <f aca="false">Z4+Z5</f>
        <v>501289.994371932</v>
      </c>
      <c r="AA6" s="36" t="n">
        <f aca="false">AA4+AA5</f>
        <v>576883.322725855</v>
      </c>
      <c r="AB6" s="36" t="n">
        <f aca="false">AB4+AB5</f>
        <v>663772.699689287</v>
      </c>
      <c r="AC6" s="36" t="n">
        <f aca="false">AC4+AC5</f>
        <v>763654.680085833</v>
      </c>
      <c r="AD6" s="36" t="n">
        <f aca="false">AD4+AD5</f>
        <v>878480.194586029</v>
      </c>
      <c r="AE6" s="36" t="n">
        <f aca="false">AE4+AE5</f>
        <v>1010492.71145321</v>
      </c>
      <c r="AF6" s="36" t="n">
        <f aca="false">AF4+AF5</f>
        <v>1162272.12228284</v>
      </c>
      <c r="AG6" s="36" t="n">
        <f aca="false">AG4+AG5</f>
        <v>1336785.21034766</v>
      </c>
      <c r="AH6" s="36" t="n">
        <f aca="false">AH4+AH5</f>
        <v>1537443.6889524</v>
      </c>
      <c r="AI6" s="36" t="n">
        <f aca="false">AI4+AI5</f>
        <v>1768170.94531155</v>
      </c>
      <c r="AJ6" s="36" t="n">
        <f aca="false">AJ4+AJ5</f>
        <v>2033478.79579009</v>
      </c>
      <c r="AK6" s="37" t="n">
        <f aca="false">AK4+AK5</f>
        <v>2338555.75422264</v>
      </c>
    </row>
    <row r="7" customFormat="false" ht="6" hidden="false" customHeight="true" outlineLevel="0" collapsed="false">
      <c r="M7" s="33"/>
      <c r="Y7" s="33"/>
      <c r="AK7" s="33"/>
    </row>
    <row r="8" customFormat="false" ht="18" hidden="false" customHeight="true" outlineLevel="0" collapsed="false">
      <c r="A8" s="15" t="s">
        <v>159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2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2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26"/>
    </row>
    <row r="9" customFormat="false" ht="15.75" hidden="false" customHeight="true" outlineLevel="0" collapsed="false">
      <c r="A9" s="27" t="s">
        <v>84</v>
      </c>
      <c r="B9" s="34" t="n">
        <f aca="false">Assumptions!$B$30</f>
        <v>50000</v>
      </c>
      <c r="C9" s="34" t="n">
        <f aca="false">Assumptions!$B$30</f>
        <v>50000</v>
      </c>
      <c r="D9" s="34" t="n">
        <f aca="false">Assumptions!$B$30</f>
        <v>50000</v>
      </c>
      <c r="E9" s="34" t="n">
        <f aca="false">Assumptions!$B$30</f>
        <v>50000</v>
      </c>
      <c r="F9" s="34" t="n">
        <f aca="false">Assumptions!$B$30</f>
        <v>50000</v>
      </c>
      <c r="G9" s="34" t="n">
        <f aca="false">Assumptions!$B$30</f>
        <v>50000</v>
      </c>
      <c r="H9" s="34" t="n">
        <f aca="false">Assumptions!$B$30</f>
        <v>50000</v>
      </c>
      <c r="I9" s="34" t="n">
        <f aca="false">Assumptions!$B$30</f>
        <v>50000</v>
      </c>
      <c r="J9" s="34" t="n">
        <f aca="false">Assumptions!$B$30</f>
        <v>50000</v>
      </c>
      <c r="K9" s="34" t="n">
        <f aca="false">Assumptions!$B$30</f>
        <v>50000</v>
      </c>
      <c r="L9" s="34" t="n">
        <f aca="false">Assumptions!$B$30</f>
        <v>50000</v>
      </c>
      <c r="M9" s="35" t="n">
        <f aca="false">Assumptions!$B$30</f>
        <v>50000</v>
      </c>
      <c r="N9" s="34" t="n">
        <f aca="false">Assumptions!$B$30</f>
        <v>50000</v>
      </c>
      <c r="O9" s="34" t="n">
        <f aca="false">Assumptions!$B$30</f>
        <v>50000</v>
      </c>
      <c r="P9" s="34" t="n">
        <f aca="false">Assumptions!$B$30</f>
        <v>50000</v>
      </c>
      <c r="Q9" s="34" t="n">
        <f aca="false">Assumptions!$B$30</f>
        <v>50000</v>
      </c>
      <c r="R9" s="34" t="n">
        <f aca="false">Assumptions!$B$30</f>
        <v>50000</v>
      </c>
      <c r="S9" s="34" t="n">
        <f aca="false">Assumptions!$B$30</f>
        <v>50000</v>
      </c>
      <c r="T9" s="34" t="n">
        <f aca="false">Assumptions!$B$30</f>
        <v>50000</v>
      </c>
      <c r="U9" s="34" t="n">
        <f aca="false">Assumptions!$B$30</f>
        <v>50000</v>
      </c>
      <c r="V9" s="34" t="n">
        <f aca="false">Assumptions!$B$30</f>
        <v>50000</v>
      </c>
      <c r="W9" s="34" t="n">
        <f aca="false">Assumptions!$B$30</f>
        <v>50000</v>
      </c>
      <c r="X9" s="34" t="n">
        <f aca="false">Assumptions!$B$30</f>
        <v>50000</v>
      </c>
      <c r="Y9" s="35" t="n">
        <f aca="false">Assumptions!$B$30</f>
        <v>50000</v>
      </c>
      <c r="Z9" s="34" t="n">
        <f aca="false">Assumptions!$B$30</f>
        <v>50000</v>
      </c>
      <c r="AA9" s="34" t="n">
        <f aca="false">Assumptions!$B$30</f>
        <v>50000</v>
      </c>
      <c r="AB9" s="34" t="n">
        <f aca="false">Assumptions!$B$30</f>
        <v>50000</v>
      </c>
      <c r="AC9" s="34" t="n">
        <f aca="false">Assumptions!$B$30</f>
        <v>50000</v>
      </c>
      <c r="AD9" s="34" t="n">
        <f aca="false">Assumptions!$B$30</f>
        <v>50000</v>
      </c>
      <c r="AE9" s="34" t="n">
        <f aca="false">Assumptions!$B$30</f>
        <v>50000</v>
      </c>
      <c r="AF9" s="34" t="n">
        <f aca="false">Assumptions!$B$30</f>
        <v>50000</v>
      </c>
      <c r="AG9" s="34" t="n">
        <f aca="false">Assumptions!$B$30</f>
        <v>50000</v>
      </c>
      <c r="AH9" s="34" t="n">
        <f aca="false">Assumptions!$B$30</f>
        <v>50000</v>
      </c>
      <c r="AI9" s="34" t="n">
        <f aca="false">Assumptions!$B$30</f>
        <v>50000</v>
      </c>
      <c r="AJ9" s="34" t="n">
        <f aca="false">Assumptions!$B$30</f>
        <v>50000</v>
      </c>
      <c r="AK9" s="35" t="n">
        <f aca="false">Assumptions!$B$30</f>
        <v>50000</v>
      </c>
    </row>
    <row r="10" customFormat="false" ht="15.75" hidden="false" customHeight="true" outlineLevel="0" collapsed="false">
      <c r="A10" s="27" t="s">
        <v>86</v>
      </c>
      <c r="B10" s="34" t="n">
        <f aca="false">Assumptions!$B$31</f>
        <v>20000</v>
      </c>
      <c r="C10" s="34" t="n">
        <f aca="false">Assumptions!$B$31</f>
        <v>20000</v>
      </c>
      <c r="D10" s="34" t="n">
        <f aca="false">Assumptions!$B$31</f>
        <v>20000</v>
      </c>
      <c r="E10" s="34" t="n">
        <f aca="false">Assumptions!$B$31</f>
        <v>20000</v>
      </c>
      <c r="F10" s="34" t="n">
        <f aca="false">Assumptions!$B$31</f>
        <v>20000</v>
      </c>
      <c r="G10" s="34" t="n">
        <f aca="false">Assumptions!$B$31</f>
        <v>20000</v>
      </c>
      <c r="H10" s="34" t="n">
        <f aca="false">Assumptions!$B$31</f>
        <v>20000</v>
      </c>
      <c r="I10" s="34" t="n">
        <f aca="false">Assumptions!$B$31</f>
        <v>20000</v>
      </c>
      <c r="J10" s="34" t="n">
        <f aca="false">Assumptions!$B$31</f>
        <v>20000</v>
      </c>
      <c r="K10" s="34" t="n">
        <f aca="false">Assumptions!$B$31</f>
        <v>20000</v>
      </c>
      <c r="L10" s="34" t="n">
        <f aca="false">Assumptions!$B$31</f>
        <v>20000</v>
      </c>
      <c r="M10" s="35" t="n">
        <f aca="false">Assumptions!$B$31</f>
        <v>20000</v>
      </c>
      <c r="N10" s="34" t="n">
        <f aca="false">Assumptions!$B$31</f>
        <v>20000</v>
      </c>
      <c r="O10" s="34" t="n">
        <f aca="false">Assumptions!$B$31</f>
        <v>20000</v>
      </c>
      <c r="P10" s="34" t="n">
        <f aca="false">Assumptions!$B$31</f>
        <v>20000</v>
      </c>
      <c r="Q10" s="34" t="n">
        <f aca="false">Assumptions!$B$31</f>
        <v>20000</v>
      </c>
      <c r="R10" s="34" t="n">
        <f aca="false">Assumptions!$B$31</f>
        <v>20000</v>
      </c>
      <c r="S10" s="34" t="n">
        <f aca="false">Assumptions!$B$31</f>
        <v>20000</v>
      </c>
      <c r="T10" s="34" t="n">
        <f aca="false">Assumptions!$B$31</f>
        <v>20000</v>
      </c>
      <c r="U10" s="34" t="n">
        <f aca="false">Assumptions!$B$31</f>
        <v>20000</v>
      </c>
      <c r="V10" s="34" t="n">
        <f aca="false">Assumptions!$B$31</f>
        <v>20000</v>
      </c>
      <c r="W10" s="34" t="n">
        <f aca="false">Assumptions!$B$31</f>
        <v>20000</v>
      </c>
      <c r="X10" s="34" t="n">
        <f aca="false">Assumptions!$B$31</f>
        <v>20000</v>
      </c>
      <c r="Y10" s="35" t="n">
        <f aca="false">Assumptions!$B$31</f>
        <v>20000</v>
      </c>
      <c r="Z10" s="34" t="n">
        <f aca="false">Assumptions!$B$31</f>
        <v>20000</v>
      </c>
      <c r="AA10" s="34" t="n">
        <f aca="false">Assumptions!$B$31</f>
        <v>20000</v>
      </c>
      <c r="AB10" s="34" t="n">
        <f aca="false">Assumptions!$B$31</f>
        <v>20000</v>
      </c>
      <c r="AC10" s="34" t="n">
        <f aca="false">Assumptions!$B$31</f>
        <v>20000</v>
      </c>
      <c r="AD10" s="34" t="n">
        <f aca="false">Assumptions!$B$31</f>
        <v>20000</v>
      </c>
      <c r="AE10" s="34" t="n">
        <f aca="false">Assumptions!$B$31</f>
        <v>20000</v>
      </c>
      <c r="AF10" s="34" t="n">
        <f aca="false">Assumptions!$B$31</f>
        <v>20000</v>
      </c>
      <c r="AG10" s="34" t="n">
        <f aca="false">Assumptions!$B$31</f>
        <v>20000</v>
      </c>
      <c r="AH10" s="34" t="n">
        <f aca="false">Assumptions!$B$31</f>
        <v>20000</v>
      </c>
      <c r="AI10" s="34" t="n">
        <f aca="false">Assumptions!$B$31</f>
        <v>20000</v>
      </c>
      <c r="AJ10" s="34" t="n">
        <f aca="false">Assumptions!$B$31</f>
        <v>20000</v>
      </c>
      <c r="AK10" s="35" t="n">
        <f aca="false">Assumptions!$B$31</f>
        <v>20000</v>
      </c>
    </row>
    <row r="11" customFormat="false" ht="15.75" hidden="false" customHeight="true" outlineLevel="0" collapsed="false">
      <c r="A11" s="27" t="s">
        <v>160</v>
      </c>
      <c r="B11" s="34" t="n">
        <f aca="false">Assumptions!$B$32</f>
        <v>15000</v>
      </c>
      <c r="C11" s="34" t="n">
        <f aca="false">Assumptions!$B$32</f>
        <v>15000</v>
      </c>
      <c r="D11" s="34" t="n">
        <f aca="false">Assumptions!$B$32</f>
        <v>15000</v>
      </c>
      <c r="E11" s="34" t="n">
        <f aca="false">Assumptions!$B$32</f>
        <v>15000</v>
      </c>
      <c r="F11" s="34" t="n">
        <f aca="false">Assumptions!$B$32</f>
        <v>15000</v>
      </c>
      <c r="G11" s="34" t="n">
        <f aca="false">Assumptions!$B$32</f>
        <v>15000</v>
      </c>
      <c r="H11" s="34" t="n">
        <f aca="false">Assumptions!$B$32</f>
        <v>15000</v>
      </c>
      <c r="I11" s="34" t="n">
        <f aca="false">Assumptions!$B$32</f>
        <v>15000</v>
      </c>
      <c r="J11" s="34" t="n">
        <f aca="false">Assumptions!$B$32</f>
        <v>15000</v>
      </c>
      <c r="K11" s="34" t="n">
        <f aca="false">Assumptions!$B$32</f>
        <v>15000</v>
      </c>
      <c r="L11" s="34" t="n">
        <f aca="false">Assumptions!$B$32</f>
        <v>15000</v>
      </c>
      <c r="M11" s="35" t="n">
        <f aca="false">Assumptions!$B$32</f>
        <v>15000</v>
      </c>
      <c r="N11" s="34" t="n">
        <f aca="false">Assumptions!$B$32</f>
        <v>15000</v>
      </c>
      <c r="O11" s="34" t="n">
        <f aca="false">Assumptions!$B$32</f>
        <v>15000</v>
      </c>
      <c r="P11" s="34" t="n">
        <f aca="false">Assumptions!$B$32</f>
        <v>15000</v>
      </c>
      <c r="Q11" s="34" t="n">
        <f aca="false">Assumptions!$B$32</f>
        <v>15000</v>
      </c>
      <c r="R11" s="34" t="n">
        <f aca="false">Assumptions!$B$32</f>
        <v>15000</v>
      </c>
      <c r="S11" s="34" t="n">
        <f aca="false">Assumptions!$B$32</f>
        <v>15000</v>
      </c>
      <c r="T11" s="34" t="n">
        <f aca="false">Assumptions!$B$32</f>
        <v>15000</v>
      </c>
      <c r="U11" s="34" t="n">
        <f aca="false">Assumptions!$B$32</f>
        <v>15000</v>
      </c>
      <c r="V11" s="34" t="n">
        <f aca="false">Assumptions!$B$32</f>
        <v>15000</v>
      </c>
      <c r="W11" s="34" t="n">
        <f aca="false">Assumptions!$B$32</f>
        <v>15000</v>
      </c>
      <c r="X11" s="34" t="n">
        <f aca="false">Assumptions!$B$32</f>
        <v>15000</v>
      </c>
      <c r="Y11" s="35" t="n">
        <f aca="false">Assumptions!$B$32</f>
        <v>15000</v>
      </c>
      <c r="Z11" s="34" t="n">
        <f aca="false">Assumptions!$B$32</f>
        <v>15000</v>
      </c>
      <c r="AA11" s="34" t="n">
        <f aca="false">Assumptions!$B$32</f>
        <v>15000</v>
      </c>
      <c r="AB11" s="34" t="n">
        <f aca="false">Assumptions!$B$32</f>
        <v>15000</v>
      </c>
      <c r="AC11" s="34" t="n">
        <f aca="false">Assumptions!$B$32</f>
        <v>15000</v>
      </c>
      <c r="AD11" s="34" t="n">
        <f aca="false">Assumptions!$B$32</f>
        <v>15000</v>
      </c>
      <c r="AE11" s="34" t="n">
        <f aca="false">Assumptions!$B$32</f>
        <v>15000</v>
      </c>
      <c r="AF11" s="34" t="n">
        <f aca="false">Assumptions!$B$32</f>
        <v>15000</v>
      </c>
      <c r="AG11" s="34" t="n">
        <f aca="false">Assumptions!$B$32</f>
        <v>15000</v>
      </c>
      <c r="AH11" s="34" t="n">
        <f aca="false">Assumptions!$B$32</f>
        <v>15000</v>
      </c>
      <c r="AI11" s="34" t="n">
        <f aca="false">Assumptions!$B$32</f>
        <v>15000</v>
      </c>
      <c r="AJ11" s="34" t="n">
        <f aca="false">Assumptions!$B$32</f>
        <v>15000</v>
      </c>
      <c r="AK11" s="35" t="n">
        <f aca="false">Assumptions!$B$32</f>
        <v>15000</v>
      </c>
    </row>
    <row r="12" customFormat="false" ht="15.75" hidden="false" customHeight="true" outlineLevel="0" collapsed="false">
      <c r="A12" s="27" t="s">
        <v>161</v>
      </c>
      <c r="B12" s="34" t="n">
        <f aca="false">Assumptions!$B$33</f>
        <v>8000</v>
      </c>
      <c r="C12" s="34" t="n">
        <f aca="false">Assumptions!$B$33</f>
        <v>8000</v>
      </c>
      <c r="D12" s="34" t="n">
        <f aca="false">Assumptions!$B$33</f>
        <v>8000</v>
      </c>
      <c r="E12" s="34" t="n">
        <f aca="false">Assumptions!$B$33</f>
        <v>8000</v>
      </c>
      <c r="F12" s="34" t="n">
        <f aca="false">Assumptions!$B$33</f>
        <v>8000</v>
      </c>
      <c r="G12" s="34" t="n">
        <f aca="false">Assumptions!$B$33</f>
        <v>8000</v>
      </c>
      <c r="H12" s="34" t="n">
        <f aca="false">Assumptions!$B$33</f>
        <v>8000</v>
      </c>
      <c r="I12" s="34" t="n">
        <f aca="false">Assumptions!$B$33</f>
        <v>8000</v>
      </c>
      <c r="J12" s="34" t="n">
        <f aca="false">Assumptions!$B$33</f>
        <v>8000</v>
      </c>
      <c r="K12" s="34" t="n">
        <f aca="false">Assumptions!$B$33</f>
        <v>8000</v>
      </c>
      <c r="L12" s="34" t="n">
        <f aca="false">Assumptions!$B$33</f>
        <v>8000</v>
      </c>
      <c r="M12" s="35" t="n">
        <f aca="false">Assumptions!$B$33</f>
        <v>8000</v>
      </c>
      <c r="N12" s="34" t="n">
        <f aca="false">Assumptions!$B$33</f>
        <v>8000</v>
      </c>
      <c r="O12" s="34" t="n">
        <f aca="false">Assumptions!$B$33</f>
        <v>8000</v>
      </c>
      <c r="P12" s="34" t="n">
        <f aca="false">Assumptions!$B$33</f>
        <v>8000</v>
      </c>
      <c r="Q12" s="34" t="n">
        <f aca="false">Assumptions!$B$33</f>
        <v>8000</v>
      </c>
      <c r="R12" s="34" t="n">
        <f aca="false">Assumptions!$B$33</f>
        <v>8000</v>
      </c>
      <c r="S12" s="34" t="n">
        <f aca="false">Assumptions!$B$33</f>
        <v>8000</v>
      </c>
      <c r="T12" s="34" t="n">
        <f aca="false">Assumptions!$B$33</f>
        <v>8000</v>
      </c>
      <c r="U12" s="34" t="n">
        <f aca="false">Assumptions!$B$33</f>
        <v>8000</v>
      </c>
      <c r="V12" s="34" t="n">
        <f aca="false">Assumptions!$B$33</f>
        <v>8000</v>
      </c>
      <c r="W12" s="34" t="n">
        <f aca="false">Assumptions!$B$33</f>
        <v>8000</v>
      </c>
      <c r="X12" s="34" t="n">
        <f aca="false">Assumptions!$B$33</f>
        <v>8000</v>
      </c>
      <c r="Y12" s="35" t="n">
        <f aca="false">Assumptions!$B$33</f>
        <v>8000</v>
      </c>
      <c r="Z12" s="34" t="n">
        <f aca="false">Assumptions!$B$33</f>
        <v>8000</v>
      </c>
      <c r="AA12" s="34" t="n">
        <f aca="false">Assumptions!$B$33</f>
        <v>8000</v>
      </c>
      <c r="AB12" s="34" t="n">
        <f aca="false">Assumptions!$B$33</f>
        <v>8000</v>
      </c>
      <c r="AC12" s="34" t="n">
        <f aca="false">Assumptions!$B$33</f>
        <v>8000</v>
      </c>
      <c r="AD12" s="34" t="n">
        <f aca="false">Assumptions!$B$33</f>
        <v>8000</v>
      </c>
      <c r="AE12" s="34" t="n">
        <f aca="false">Assumptions!$B$33</f>
        <v>8000</v>
      </c>
      <c r="AF12" s="34" t="n">
        <f aca="false">Assumptions!$B$33</f>
        <v>8000</v>
      </c>
      <c r="AG12" s="34" t="n">
        <f aca="false">Assumptions!$B$33</f>
        <v>8000</v>
      </c>
      <c r="AH12" s="34" t="n">
        <f aca="false">Assumptions!$B$33</f>
        <v>8000</v>
      </c>
      <c r="AI12" s="34" t="n">
        <f aca="false">Assumptions!$B$33</f>
        <v>8000</v>
      </c>
      <c r="AJ12" s="34" t="n">
        <f aca="false">Assumptions!$B$33</f>
        <v>8000</v>
      </c>
      <c r="AK12" s="35" t="n">
        <f aca="false">Assumptions!$B$33</f>
        <v>8000</v>
      </c>
    </row>
    <row r="13" customFormat="false" ht="15.75" hidden="false" customHeight="true" outlineLevel="0" collapsed="false">
      <c r="A13" s="30" t="s">
        <v>162</v>
      </c>
      <c r="B13" s="36" t="n">
        <f aca="false">B9+B10+B11+B12</f>
        <v>93000</v>
      </c>
      <c r="C13" s="36" t="n">
        <f aca="false">C9+C10+C11+C12</f>
        <v>93000</v>
      </c>
      <c r="D13" s="36" t="n">
        <f aca="false">D9+D10+D11+D12</f>
        <v>93000</v>
      </c>
      <c r="E13" s="36" t="n">
        <f aca="false">E9+E10+E11+E12</f>
        <v>93000</v>
      </c>
      <c r="F13" s="36" t="n">
        <f aca="false">F9+F10+F11+F12</f>
        <v>93000</v>
      </c>
      <c r="G13" s="36" t="n">
        <f aca="false">G9+G10+G11+G12</f>
        <v>93000</v>
      </c>
      <c r="H13" s="36" t="n">
        <f aca="false">H9+H10+H11+H12</f>
        <v>93000</v>
      </c>
      <c r="I13" s="36" t="n">
        <f aca="false">I9+I10+I11+I12</f>
        <v>93000</v>
      </c>
      <c r="J13" s="36" t="n">
        <f aca="false">J9+J10+J11+J12</f>
        <v>93000</v>
      </c>
      <c r="K13" s="36" t="n">
        <f aca="false">K9+K10+K11+K12</f>
        <v>93000</v>
      </c>
      <c r="L13" s="36" t="n">
        <f aca="false">L9+L10+L11+L12</f>
        <v>93000</v>
      </c>
      <c r="M13" s="37" t="n">
        <f aca="false">M9+M10+M11+M12</f>
        <v>93000</v>
      </c>
      <c r="N13" s="36" t="n">
        <f aca="false">N9+N10+N11+N12</f>
        <v>93000</v>
      </c>
      <c r="O13" s="36" t="n">
        <f aca="false">O9+O10+O11+O12</f>
        <v>93000</v>
      </c>
      <c r="P13" s="36" t="n">
        <f aca="false">P9+P10+P11+P12</f>
        <v>93000</v>
      </c>
      <c r="Q13" s="36" t="n">
        <f aca="false">Q9+Q10+Q11+Q12</f>
        <v>93000</v>
      </c>
      <c r="R13" s="36" t="n">
        <f aca="false">R9+R10+R11+R12</f>
        <v>93000</v>
      </c>
      <c r="S13" s="36" t="n">
        <f aca="false">S9+S10+S11+S12</f>
        <v>93000</v>
      </c>
      <c r="T13" s="36" t="n">
        <f aca="false">T9+T10+T11+T12</f>
        <v>93000</v>
      </c>
      <c r="U13" s="36" t="n">
        <f aca="false">U9+U10+U11+U12</f>
        <v>93000</v>
      </c>
      <c r="V13" s="36" t="n">
        <f aca="false">V9+V10+V11+V12</f>
        <v>93000</v>
      </c>
      <c r="W13" s="36" t="n">
        <f aca="false">W9+W10+W11+W12</f>
        <v>93000</v>
      </c>
      <c r="X13" s="36" t="n">
        <f aca="false">X9+X10+X11+X12</f>
        <v>93000</v>
      </c>
      <c r="Y13" s="37" t="n">
        <f aca="false">Y9+Y10+Y11+Y12</f>
        <v>93000</v>
      </c>
      <c r="Z13" s="36" t="n">
        <f aca="false">Z9+Z10+Z11+Z12</f>
        <v>93000</v>
      </c>
      <c r="AA13" s="36" t="n">
        <f aca="false">AA9+AA10+AA11+AA12</f>
        <v>93000</v>
      </c>
      <c r="AB13" s="36" t="n">
        <f aca="false">AB9+AB10+AB11+AB12</f>
        <v>93000</v>
      </c>
      <c r="AC13" s="36" t="n">
        <f aca="false">AC9+AC10+AC11+AC12</f>
        <v>93000</v>
      </c>
      <c r="AD13" s="36" t="n">
        <f aca="false">AD9+AD10+AD11+AD12</f>
        <v>93000</v>
      </c>
      <c r="AE13" s="36" t="n">
        <f aca="false">AE9+AE10+AE11+AE12</f>
        <v>93000</v>
      </c>
      <c r="AF13" s="36" t="n">
        <f aca="false">AF9+AF10+AF11+AF12</f>
        <v>93000</v>
      </c>
      <c r="AG13" s="36" t="n">
        <f aca="false">AG9+AG10+AG11+AG12</f>
        <v>93000</v>
      </c>
      <c r="AH13" s="36" t="n">
        <f aca="false">AH9+AH10+AH11+AH12</f>
        <v>93000</v>
      </c>
      <c r="AI13" s="36" t="n">
        <f aca="false">AI9+AI10+AI11+AI12</f>
        <v>93000</v>
      </c>
      <c r="AJ13" s="36" t="n">
        <f aca="false">AJ9+AJ10+AJ11+AJ12</f>
        <v>93000</v>
      </c>
      <c r="AK13" s="37" t="n">
        <f aca="false">AK9+AK10+AK11+AK12</f>
        <v>93000</v>
      </c>
    </row>
    <row r="14" customFormat="false" ht="6" hidden="false" customHeight="true" outlineLevel="0" collapsed="false">
      <c r="M14" s="33"/>
      <c r="Y14" s="33"/>
      <c r="AK14" s="33"/>
    </row>
    <row r="15" customFormat="false" ht="18" hidden="false" customHeight="true" outlineLevel="0" collapsed="false">
      <c r="A15" s="15" t="s">
        <v>163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2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2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26"/>
    </row>
    <row r="16" customFormat="false" ht="15.75" hidden="false" customHeight="true" outlineLevel="0" collapsed="false">
      <c r="A16" s="38" t="s">
        <v>164</v>
      </c>
      <c r="B16" s="39" t="n">
        <f aca="false">B6+B13</f>
        <v>98910</v>
      </c>
      <c r="C16" s="39" t="n">
        <f aca="false">C6+C13</f>
        <v>102275.7</v>
      </c>
      <c r="D16" s="39" t="n">
        <f aca="false">D6+D13</f>
        <v>106002.639</v>
      </c>
      <c r="E16" s="39" t="n">
        <f aca="false">E6+E13</f>
        <v>110148.94653</v>
      </c>
      <c r="F16" s="39" t="n">
        <f aca="false">F6+F13</f>
        <v>114784.4467431</v>
      </c>
      <c r="G16" s="39" t="n">
        <f aca="false">G6+G13</f>
        <v>119989.154919237</v>
      </c>
      <c r="H16" s="39" t="n">
        <f aca="false">H6+H13</f>
        <v>125854.758080416</v>
      </c>
      <c r="I16" s="39" t="n">
        <f aca="false">I6+I13</f>
        <v>132486.381035944</v>
      </c>
      <c r="J16" s="39" t="n">
        <f aca="false">J6+J13</f>
        <v>140004.617788955</v>
      </c>
      <c r="K16" s="39" t="n">
        <f aca="false">K6+K13</f>
        <v>148547.866891363</v>
      </c>
      <c r="L16" s="39" t="n">
        <f aca="false">L6+L13</f>
        <v>158275.016353756</v>
      </c>
      <c r="M16" s="40" t="n">
        <f aca="false">M6+M13</f>
        <v>169368.5305804</v>
      </c>
      <c r="N16" s="39" t="n">
        <f aca="false">N6+N13</f>
        <v>182037.999668687</v>
      </c>
      <c r="O16" s="39" t="n">
        <f aca="false">O6+O13</f>
        <v>196524.220461484</v>
      </c>
      <c r="P16" s="39" t="n">
        <f aca="false">P6+P13</f>
        <v>213103.889147401</v>
      </c>
      <c r="Q16" s="39" t="n">
        <f aca="false">Q6+Q13</f>
        <v>232094.997171698</v>
      </c>
      <c r="R16" s="39" t="n">
        <f aca="false">R6+R13</f>
        <v>253863.035983356</v>
      </c>
      <c r="S16" s="39" t="n">
        <f aca="false">S6+S13</f>
        <v>278828.131971295</v>
      </c>
      <c r="T16" s="39" t="n">
        <f aca="false">T6+T13</f>
        <v>307473.251144229</v>
      </c>
      <c r="U16" s="39" t="n">
        <f aca="false">U6+U13</f>
        <v>340353.634040568</v>
      </c>
      <c r="V16" s="39" t="n">
        <f aca="false">V6+V13</f>
        <v>378107.645426448</v>
      </c>
      <c r="W16" s="39" t="n">
        <f aca="false">W6+W13</f>
        <v>421469.251022548</v>
      </c>
      <c r="X16" s="39" t="n">
        <f aca="false">X6+X13</f>
        <v>471282.365335283</v>
      </c>
      <c r="Y16" s="40" t="n">
        <f aca="false">Y6+Y13</f>
        <v>528517.351278287</v>
      </c>
      <c r="Z16" s="39" t="n">
        <f aca="false">Z6+Z13</f>
        <v>594289.994371932</v>
      </c>
      <c r="AA16" s="39" t="n">
        <f aca="false">AA6+AA13</f>
        <v>669883.322725855</v>
      </c>
      <c r="AB16" s="39" t="n">
        <f aca="false">AB6+AB13</f>
        <v>756772.699689287</v>
      </c>
      <c r="AC16" s="39" t="n">
        <f aca="false">AC6+AC13</f>
        <v>856654.680085833</v>
      </c>
      <c r="AD16" s="39" t="n">
        <f aca="false">AD6+AD13</f>
        <v>971480.194586029</v>
      </c>
      <c r="AE16" s="39" t="n">
        <f aca="false">AE6+AE13</f>
        <v>1103492.71145321</v>
      </c>
      <c r="AF16" s="39" t="n">
        <f aca="false">AF6+AF13</f>
        <v>1255272.12228284</v>
      </c>
      <c r="AG16" s="39" t="n">
        <f aca="false">AG6+AG13</f>
        <v>1429785.21034766</v>
      </c>
      <c r="AH16" s="39" t="n">
        <f aca="false">AH6+AH13</f>
        <v>1630443.6889524</v>
      </c>
      <c r="AI16" s="39" t="n">
        <f aca="false">AI6+AI13</f>
        <v>1861170.94531155</v>
      </c>
      <c r="AJ16" s="39" t="n">
        <f aca="false">AJ6+AJ13</f>
        <v>2126478.79579009</v>
      </c>
      <c r="AK16" s="40" t="n">
        <f aca="false">AK6+AK13</f>
        <v>2431555.75422264</v>
      </c>
    </row>
    <row r="17" customFormat="false" ht="6" hidden="false" customHeight="true" outlineLevel="0" collapsed="false">
      <c r="M17" s="33"/>
      <c r="Y17" s="33"/>
      <c r="AK17" s="33"/>
    </row>
    <row r="18" customFormat="false" ht="18" hidden="false" customHeight="true" outlineLevel="0" collapsed="false">
      <c r="A18" s="15" t="s">
        <v>165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2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2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26"/>
    </row>
    <row r="19" customFormat="false" ht="15.75" hidden="false" customHeight="true" outlineLevel="0" collapsed="false">
      <c r="A19" s="30" t="s">
        <v>166</v>
      </c>
      <c r="B19" s="36" t="n">
        <f aca="false">'Revenue Model'!B17-B6</f>
        <v>13790</v>
      </c>
      <c r="C19" s="36" t="n">
        <f aca="false">'Revenue Model'!C17-C6</f>
        <v>21643.3</v>
      </c>
      <c r="D19" s="36" t="n">
        <f aca="false">'Revenue Model'!D17-D6</f>
        <v>30339.491</v>
      </c>
      <c r="E19" s="36" t="n">
        <f aca="false">'Revenue Model'!E17-E6</f>
        <v>40014.20857</v>
      </c>
      <c r="F19" s="36" t="n">
        <f aca="false">'Revenue Model'!F17-F6</f>
        <v>50830.3757339</v>
      </c>
      <c r="G19" s="36" t="n">
        <f aca="false">'Revenue Model'!G17-G6</f>
        <v>62974.694811553</v>
      </c>
      <c r="H19" s="36" t="n">
        <f aca="false">'Revenue Model'!H17-H6</f>
        <v>76661.1021876373</v>
      </c>
      <c r="I19" s="36" t="n">
        <f aca="false">'Revenue Model'!I17-I6</f>
        <v>92134.8890838699</v>
      </c>
      <c r="J19" s="36" t="n">
        <f aca="false">'Revenue Model'!J17-J6</f>
        <v>109677.441507562</v>
      </c>
      <c r="K19" s="36" t="n">
        <f aca="false">'Revenue Model'!K17-K6</f>
        <v>129611.689413181</v>
      </c>
      <c r="L19" s="36" t="n">
        <f aca="false">'Revenue Model'!L17-L6</f>
        <v>152308.371492097</v>
      </c>
      <c r="M19" s="37" t="n">
        <f aca="false">'Revenue Model'!M17-M6</f>
        <v>178193.238020933</v>
      </c>
      <c r="N19" s="36" t="n">
        <f aca="false">'Revenue Model'!N17-N6</f>
        <v>207755.332560271</v>
      </c>
      <c r="O19" s="36" t="n">
        <f aca="false">'Revenue Model'!O17-O6</f>
        <v>241556.514410128</v>
      </c>
      <c r="P19" s="36" t="n">
        <f aca="false">'Revenue Model'!P17-P6</f>
        <v>280242.408010602</v>
      </c>
      <c r="Q19" s="36" t="n">
        <f aca="false">'Revenue Model'!Q17-Q6</f>
        <v>324554.993400628</v>
      </c>
      <c r="R19" s="36" t="n">
        <f aca="false">'Revenue Model'!R17-R6</f>
        <v>375347.083961164</v>
      </c>
      <c r="S19" s="36" t="n">
        <f aca="false">'Revenue Model'!S17-S6</f>
        <v>433598.974599688</v>
      </c>
      <c r="T19" s="36" t="n">
        <f aca="false">'Revenue Model'!T17-T6</f>
        <v>500437.5860032</v>
      </c>
      <c r="U19" s="36" t="n">
        <f aca="false">'Revenue Model'!U17-U6</f>
        <v>577158.479427991</v>
      </c>
      <c r="V19" s="36" t="n">
        <f aca="false">'Revenue Model'!V17-V6</f>
        <v>665251.172661713</v>
      </c>
      <c r="W19" s="36" t="n">
        <f aca="false">'Revenue Model'!W17-W6</f>
        <v>766428.252385946</v>
      </c>
      <c r="X19" s="36" t="n">
        <f aca="false">'Revenue Model'!X17-X6</f>
        <v>882658.852448993</v>
      </c>
      <c r="Y19" s="37" t="n">
        <f aca="false">'Revenue Model'!Y17-Y6</f>
        <v>1016207.15298267</v>
      </c>
      <c r="Z19" s="36" t="n">
        <f aca="false">'Revenue Model'!Z17-Z6</f>
        <v>1169676.65353451</v>
      </c>
      <c r="AA19" s="36" t="n">
        <f aca="false">'Revenue Model'!AA17-AA6</f>
        <v>1346061.08636033</v>
      </c>
      <c r="AB19" s="36" t="n">
        <f aca="false">'Revenue Model'!AB17-AB6</f>
        <v>1548802.96594167</v>
      </c>
      <c r="AC19" s="36" t="n">
        <f aca="false">'Revenue Model'!AC17-AC6</f>
        <v>1781860.92020028</v>
      </c>
      <c r="AD19" s="36" t="n">
        <f aca="false">'Revenue Model'!AD17-AD6</f>
        <v>2049787.12070073</v>
      </c>
      <c r="AE19" s="36" t="n">
        <f aca="false">'Revenue Model'!AE17-AE6</f>
        <v>2357816.32672417</v>
      </c>
      <c r="AF19" s="36" t="n">
        <f aca="false">'Revenue Model'!AF17-AF6</f>
        <v>2711968.28532663</v>
      </c>
      <c r="AG19" s="36" t="n">
        <f aca="false">'Revenue Model'!AG17-AG6</f>
        <v>3119165.4908112</v>
      </c>
      <c r="AH19" s="36" t="n">
        <f aca="false">'Revenue Model'!AH17-AH6</f>
        <v>3587368.6075556</v>
      </c>
      <c r="AI19" s="36" t="n">
        <f aca="false">'Revenue Model'!AI17-AI6</f>
        <v>4125732.20572695</v>
      </c>
      <c r="AJ19" s="36" t="n">
        <f aca="false">'Revenue Model'!AJ17-AJ6</f>
        <v>4744783.85684354</v>
      </c>
      <c r="AK19" s="37" t="n">
        <f aca="false">'Revenue Model'!AK17-AK6</f>
        <v>5456630.09318616</v>
      </c>
    </row>
    <row r="20" customFormat="false" ht="15.75" hidden="false" customHeight="true" outlineLevel="0" collapsed="false">
      <c r="A20" s="38" t="s">
        <v>167</v>
      </c>
      <c r="B20" s="41" t="n">
        <f aca="false">B19/'Revenue Model'!B17</f>
        <v>0.7</v>
      </c>
      <c r="C20" s="41" t="n">
        <f aca="false">C19/'Revenue Model'!C17</f>
        <v>0.7</v>
      </c>
      <c r="D20" s="41" t="n">
        <f aca="false">D19/'Revenue Model'!D17</f>
        <v>0.7</v>
      </c>
      <c r="E20" s="41" t="n">
        <f aca="false">E19/'Revenue Model'!E17</f>
        <v>0.7</v>
      </c>
      <c r="F20" s="41" t="n">
        <f aca="false">F19/'Revenue Model'!F17</f>
        <v>0.7</v>
      </c>
      <c r="G20" s="41" t="n">
        <f aca="false">G19/'Revenue Model'!G17</f>
        <v>0.7</v>
      </c>
      <c r="H20" s="41" t="n">
        <f aca="false">H19/'Revenue Model'!H17</f>
        <v>0.7</v>
      </c>
      <c r="I20" s="41" t="n">
        <f aca="false">I19/'Revenue Model'!I17</f>
        <v>0.7</v>
      </c>
      <c r="J20" s="41" t="n">
        <f aca="false">J19/'Revenue Model'!J17</f>
        <v>0.7</v>
      </c>
      <c r="K20" s="41" t="n">
        <f aca="false">K19/'Revenue Model'!K17</f>
        <v>0.7</v>
      </c>
      <c r="L20" s="41" t="n">
        <f aca="false">L19/'Revenue Model'!L17</f>
        <v>0.7</v>
      </c>
      <c r="M20" s="42" t="n">
        <f aca="false">M19/'Revenue Model'!M17</f>
        <v>0.7</v>
      </c>
      <c r="N20" s="41" t="n">
        <f aca="false">N19/'Revenue Model'!N17</f>
        <v>0.7</v>
      </c>
      <c r="O20" s="41" t="n">
        <f aca="false">O19/'Revenue Model'!O17</f>
        <v>0.7</v>
      </c>
      <c r="P20" s="41" t="n">
        <f aca="false">P19/'Revenue Model'!P17</f>
        <v>0.7</v>
      </c>
      <c r="Q20" s="41" t="n">
        <f aca="false">Q19/'Revenue Model'!Q17</f>
        <v>0.7</v>
      </c>
      <c r="R20" s="41" t="n">
        <f aca="false">R19/'Revenue Model'!R17</f>
        <v>0.7</v>
      </c>
      <c r="S20" s="41" t="n">
        <f aca="false">S19/'Revenue Model'!S17</f>
        <v>0.7</v>
      </c>
      <c r="T20" s="41" t="n">
        <f aca="false">T19/'Revenue Model'!T17</f>
        <v>0.7</v>
      </c>
      <c r="U20" s="41" t="n">
        <f aca="false">U19/'Revenue Model'!U17</f>
        <v>0.7</v>
      </c>
      <c r="V20" s="41" t="n">
        <f aca="false">V19/'Revenue Model'!V17</f>
        <v>0.7</v>
      </c>
      <c r="W20" s="41" t="n">
        <f aca="false">W19/'Revenue Model'!W17</f>
        <v>0.7</v>
      </c>
      <c r="X20" s="41" t="n">
        <f aca="false">X19/'Revenue Model'!X17</f>
        <v>0.7</v>
      </c>
      <c r="Y20" s="42" t="n">
        <f aca="false">Y19/'Revenue Model'!Y17</f>
        <v>0.7</v>
      </c>
      <c r="Z20" s="41" t="n">
        <f aca="false">Z19/'Revenue Model'!Z17</f>
        <v>0.7</v>
      </c>
      <c r="AA20" s="41" t="n">
        <f aca="false">AA19/'Revenue Model'!AA17</f>
        <v>0.7</v>
      </c>
      <c r="AB20" s="41" t="n">
        <f aca="false">AB19/'Revenue Model'!AB17</f>
        <v>0.7</v>
      </c>
      <c r="AC20" s="41" t="n">
        <f aca="false">AC19/'Revenue Model'!AC17</f>
        <v>0.7</v>
      </c>
      <c r="AD20" s="41" t="n">
        <f aca="false">AD19/'Revenue Model'!AD17</f>
        <v>0.7</v>
      </c>
      <c r="AE20" s="41" t="n">
        <f aca="false">AE19/'Revenue Model'!AE17</f>
        <v>0.7</v>
      </c>
      <c r="AF20" s="41" t="n">
        <f aca="false">AF19/'Revenue Model'!AF17</f>
        <v>0.7</v>
      </c>
      <c r="AG20" s="41" t="n">
        <f aca="false">AG19/'Revenue Model'!AG17</f>
        <v>0.7</v>
      </c>
      <c r="AH20" s="41" t="n">
        <f aca="false">AH19/'Revenue Model'!AH17</f>
        <v>0.7</v>
      </c>
      <c r="AI20" s="41" t="n">
        <f aca="false">AI19/'Revenue Model'!AI17</f>
        <v>0.7</v>
      </c>
      <c r="AJ20" s="41" t="n">
        <f aca="false">AJ19/'Revenue Model'!AJ17</f>
        <v>0.7</v>
      </c>
      <c r="AK20" s="42" t="n">
        <f aca="false">AK19/'Revenue Model'!AK17</f>
        <v>0.7</v>
      </c>
    </row>
    <row r="22" customFormat="false" ht="15" hidden="false" customHeight="false" outlineLevel="0" collapsed="false">
      <c r="A22" s="22" t="s">
        <v>99</v>
      </c>
      <c r="B22" s="22"/>
      <c r="C22" s="22"/>
      <c r="D22" s="22"/>
      <c r="E22" s="22"/>
      <c r="F22" s="22"/>
      <c r="G22" s="22"/>
      <c r="H22" s="22"/>
    </row>
  </sheetData>
  <mergeCells count="2">
    <mergeCell ref="A1:M1"/>
    <mergeCell ref="A22:H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2BBEB"/>
    <pageSetUpPr fitToPage="true"/>
  </sheetPr>
  <dimension ref="A1:AK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37" min="2" style="0" width="11"/>
  </cols>
  <sheetData>
    <row r="1" customFormat="false" ht="30" hidden="false" customHeight="true" outlineLevel="0" collapsed="false">
      <c r="A1" s="13" t="s">
        <v>168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</row>
    <row r="2" customFormat="false" ht="19.5" hidden="false" customHeight="true" outlineLevel="0" collapsed="false">
      <c r="A2" s="23" t="s">
        <v>169</v>
      </c>
      <c r="B2" s="24" t="s">
        <v>102</v>
      </c>
      <c r="C2" s="24" t="s">
        <v>103</v>
      </c>
      <c r="D2" s="24" t="s">
        <v>104</v>
      </c>
      <c r="E2" s="24" t="s">
        <v>105</v>
      </c>
      <c r="F2" s="24" t="s">
        <v>106</v>
      </c>
      <c r="G2" s="24" t="s">
        <v>107</v>
      </c>
      <c r="H2" s="24" t="s">
        <v>108</v>
      </c>
      <c r="I2" s="24" t="s">
        <v>109</v>
      </c>
      <c r="J2" s="24" t="s">
        <v>110</v>
      </c>
      <c r="K2" s="24" t="s">
        <v>111</v>
      </c>
      <c r="L2" s="24" t="s">
        <v>112</v>
      </c>
      <c r="M2" s="25" t="s">
        <v>113</v>
      </c>
      <c r="N2" s="24" t="s">
        <v>114</v>
      </c>
      <c r="O2" s="24" t="s">
        <v>115</v>
      </c>
      <c r="P2" s="24" t="s">
        <v>116</v>
      </c>
      <c r="Q2" s="24" t="s">
        <v>117</v>
      </c>
      <c r="R2" s="24" t="s">
        <v>118</v>
      </c>
      <c r="S2" s="24" t="s">
        <v>119</v>
      </c>
      <c r="T2" s="24" t="s">
        <v>120</v>
      </c>
      <c r="U2" s="24" t="s">
        <v>121</v>
      </c>
      <c r="V2" s="24" t="s">
        <v>122</v>
      </c>
      <c r="W2" s="24" t="s">
        <v>123</v>
      </c>
      <c r="X2" s="24" t="s">
        <v>124</v>
      </c>
      <c r="Y2" s="25" t="s">
        <v>125</v>
      </c>
      <c r="Z2" s="24" t="s">
        <v>126</v>
      </c>
      <c r="AA2" s="24" t="s">
        <v>127</v>
      </c>
      <c r="AB2" s="24" t="s">
        <v>128</v>
      </c>
      <c r="AC2" s="24" t="s">
        <v>129</v>
      </c>
      <c r="AD2" s="24" t="s">
        <v>130</v>
      </c>
      <c r="AE2" s="24" t="s">
        <v>131</v>
      </c>
      <c r="AF2" s="24" t="s">
        <v>132</v>
      </c>
      <c r="AG2" s="24" t="s">
        <v>133</v>
      </c>
      <c r="AH2" s="24" t="s">
        <v>134</v>
      </c>
      <c r="AI2" s="24" t="s">
        <v>135</v>
      </c>
      <c r="AJ2" s="24" t="s">
        <v>136</v>
      </c>
      <c r="AK2" s="25" t="s">
        <v>137</v>
      </c>
    </row>
    <row r="3" customFormat="false" ht="18" hidden="false" customHeight="true" outlineLevel="0" collapsed="false">
      <c r="A3" s="15" t="s">
        <v>170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2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2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26"/>
    </row>
    <row r="4" customFormat="false" ht="15.75" hidden="false" customHeight="true" outlineLevel="0" collapsed="false">
      <c r="A4" s="27" t="s">
        <v>171</v>
      </c>
      <c r="B4" s="34" t="n">
        <f aca="false">'Revenue Model'!B17</f>
        <v>19700</v>
      </c>
      <c r="C4" s="34" t="n">
        <f aca="false">'Revenue Model'!C17</f>
        <v>30919</v>
      </c>
      <c r="D4" s="34" t="n">
        <f aca="false">'Revenue Model'!D17</f>
        <v>43342.13</v>
      </c>
      <c r="E4" s="34" t="n">
        <f aca="false">'Revenue Model'!E17</f>
        <v>57163.1551</v>
      </c>
      <c r="F4" s="34" t="n">
        <f aca="false">'Revenue Model'!F17</f>
        <v>72614.822477</v>
      </c>
      <c r="G4" s="34" t="n">
        <f aca="false">'Revenue Model'!G17</f>
        <v>89963.84973079</v>
      </c>
      <c r="H4" s="34" t="n">
        <f aca="false">'Revenue Model'!H17</f>
        <v>109515.860268053</v>
      </c>
      <c r="I4" s="34" t="n">
        <f aca="false">'Revenue Model'!I17</f>
        <v>131621.270119814</v>
      </c>
      <c r="J4" s="34" t="n">
        <f aca="false">'Revenue Model'!J17</f>
        <v>156682.059296517</v>
      </c>
      <c r="K4" s="34" t="n">
        <f aca="false">'Revenue Model'!K17</f>
        <v>185159.556304545</v>
      </c>
      <c r="L4" s="34" t="n">
        <f aca="false">'Revenue Model'!L17</f>
        <v>217583.387845853</v>
      </c>
      <c r="M4" s="35" t="n">
        <f aca="false">'Revenue Model'!M17</f>
        <v>254561.768601332</v>
      </c>
      <c r="N4" s="34" t="n">
        <f aca="false">'Revenue Model'!N17</f>
        <v>296793.332228958</v>
      </c>
      <c r="O4" s="34" t="n">
        <f aca="false">'Revenue Model'!O17</f>
        <v>345080.734871612</v>
      </c>
      <c r="P4" s="34" t="n">
        <f aca="false">'Revenue Model'!P17</f>
        <v>400346.297158003</v>
      </c>
      <c r="Q4" s="34" t="n">
        <f aca="false">'Revenue Model'!Q17</f>
        <v>463649.990572326</v>
      </c>
      <c r="R4" s="34" t="n">
        <f aca="false">'Revenue Model'!R17</f>
        <v>536210.11994452</v>
      </c>
      <c r="S4" s="34" t="n">
        <f aca="false">'Revenue Model'!S17</f>
        <v>619427.106570982</v>
      </c>
      <c r="T4" s="34" t="n">
        <f aca="false">'Revenue Model'!T17</f>
        <v>714910.837147429</v>
      </c>
      <c r="U4" s="34" t="n">
        <f aca="false">'Revenue Model'!U17</f>
        <v>824512.113468558</v>
      </c>
      <c r="V4" s="34" t="n">
        <f aca="false">'Revenue Model'!V17</f>
        <v>950358.818088161</v>
      </c>
      <c r="W4" s="34" t="n">
        <f aca="false">'Revenue Model'!W17</f>
        <v>1094897.50340849</v>
      </c>
      <c r="X4" s="34" t="n">
        <f aca="false">'Revenue Model'!X17</f>
        <v>1260941.21778428</v>
      </c>
      <c r="Y4" s="35" t="n">
        <f aca="false">'Revenue Model'!Y17</f>
        <v>1451724.50426096</v>
      </c>
      <c r="Z4" s="34" t="n">
        <f aca="false">'Revenue Model'!Z17</f>
        <v>1670966.64790644</v>
      </c>
      <c r="AA4" s="34" t="n">
        <f aca="false">'Revenue Model'!AA17</f>
        <v>1922944.40908618</v>
      </c>
      <c r="AB4" s="34" t="n">
        <f aca="false">'Revenue Model'!AB17</f>
        <v>2212575.66563096</v>
      </c>
      <c r="AC4" s="34" t="n">
        <f aca="false">'Revenue Model'!AC17</f>
        <v>2545515.60028611</v>
      </c>
      <c r="AD4" s="34" t="n">
        <f aca="false">'Revenue Model'!AD17</f>
        <v>2928267.31528676</v>
      </c>
      <c r="AE4" s="34" t="n">
        <f aca="false">'Revenue Model'!AE17</f>
        <v>3368309.03817738</v>
      </c>
      <c r="AF4" s="34" t="n">
        <f aca="false">'Revenue Model'!AF17</f>
        <v>3874240.40760947</v>
      </c>
      <c r="AG4" s="34" t="n">
        <f aca="false">'Revenue Model'!AG17</f>
        <v>4455950.70115885</v>
      </c>
      <c r="AH4" s="34" t="n">
        <f aca="false">'Revenue Model'!AH17</f>
        <v>5124812.296508</v>
      </c>
      <c r="AI4" s="34" t="n">
        <f aca="false">'Revenue Model'!AI17</f>
        <v>5893903.15103851</v>
      </c>
      <c r="AJ4" s="34" t="n">
        <f aca="false">'Revenue Model'!AJ17</f>
        <v>6778262.65263363</v>
      </c>
      <c r="AK4" s="35" t="n">
        <f aca="false">'Revenue Model'!AK17</f>
        <v>7795185.84740881</v>
      </c>
    </row>
    <row r="5" customFormat="false" ht="15.75" hidden="false" customHeight="true" outlineLevel="0" collapsed="false">
      <c r="A5" s="27" t="s">
        <v>172</v>
      </c>
      <c r="B5" s="34" t="n">
        <f aca="false">IF(1=Assumptions!$B$38,Assumptions!$B$37,0)</f>
        <v>0</v>
      </c>
      <c r="C5" s="34" t="n">
        <f aca="false">IF(2=Assumptions!$B$38,Assumptions!$B$37,0)</f>
        <v>0</v>
      </c>
      <c r="D5" s="34" t="n">
        <f aca="false">IF(3=Assumptions!$B$38,Assumptions!$B$37,0)</f>
        <v>0</v>
      </c>
      <c r="E5" s="34" t="n">
        <f aca="false">IF(4=Assumptions!$B$38,Assumptions!$B$37,0)</f>
        <v>0</v>
      </c>
      <c r="F5" s="34" t="n">
        <f aca="false">IF(5=Assumptions!$B$38,Assumptions!$B$37,0)</f>
        <v>0</v>
      </c>
      <c r="G5" s="34" t="n">
        <f aca="false">IF(6=Assumptions!$B$38,Assumptions!$B$37,0)</f>
        <v>0</v>
      </c>
      <c r="H5" s="34" t="n">
        <f aca="false">IF(7=Assumptions!$B$38,Assumptions!$B$37,0)</f>
        <v>0</v>
      </c>
      <c r="I5" s="34" t="n">
        <f aca="false">IF(8=Assumptions!$B$38,Assumptions!$B$37,0)</f>
        <v>0</v>
      </c>
      <c r="J5" s="34" t="n">
        <f aca="false">IF(9=Assumptions!$B$38,Assumptions!$B$37,0)</f>
        <v>0</v>
      </c>
      <c r="K5" s="34" t="n">
        <f aca="false">IF(10=Assumptions!$B$38,Assumptions!$B$37,0)</f>
        <v>0</v>
      </c>
      <c r="L5" s="34" t="n">
        <f aca="false">IF(11=Assumptions!$B$38,Assumptions!$B$37,0)</f>
        <v>0</v>
      </c>
      <c r="M5" s="35" t="n">
        <f aca="false">IF(12=Assumptions!$B$38,Assumptions!$B$37,0)</f>
        <v>0</v>
      </c>
      <c r="N5" s="34" t="n">
        <f aca="false">IF(13=Assumptions!$B$38,Assumptions!$B$37,0)</f>
        <v>0</v>
      </c>
      <c r="O5" s="34" t="n">
        <f aca="false">IF(14=Assumptions!$B$38,Assumptions!$B$37,0)</f>
        <v>0</v>
      </c>
      <c r="P5" s="34" t="n">
        <f aca="false">IF(15=Assumptions!$B$38,Assumptions!$B$37,0)</f>
        <v>0</v>
      </c>
      <c r="Q5" s="34" t="n">
        <f aca="false">IF(16=Assumptions!$B$38,Assumptions!$B$37,0)</f>
        <v>0</v>
      </c>
      <c r="R5" s="34" t="n">
        <f aca="false">IF(17=Assumptions!$B$38,Assumptions!$B$37,0)</f>
        <v>0</v>
      </c>
      <c r="S5" s="34" t="n">
        <f aca="false">IF(18=Assumptions!$B$38,Assumptions!$B$37,0)</f>
        <v>0</v>
      </c>
      <c r="T5" s="34" t="n">
        <f aca="false">IF(19=Assumptions!$B$38,Assumptions!$B$37,0)</f>
        <v>0</v>
      </c>
      <c r="U5" s="34" t="n">
        <f aca="false">IF(20=Assumptions!$B$38,Assumptions!$B$37,0)</f>
        <v>0</v>
      </c>
      <c r="V5" s="34" t="n">
        <f aca="false">IF(21=Assumptions!$B$38,Assumptions!$B$37,0)</f>
        <v>0</v>
      </c>
      <c r="W5" s="34" t="n">
        <f aca="false">IF(22=Assumptions!$B$38,Assumptions!$B$37,0)</f>
        <v>0</v>
      </c>
      <c r="X5" s="34" t="n">
        <f aca="false">IF(23=Assumptions!$B$38,Assumptions!$B$37,0)</f>
        <v>0</v>
      </c>
      <c r="Y5" s="35" t="n">
        <f aca="false">IF(24=Assumptions!$B$38,Assumptions!$B$37,0)</f>
        <v>0</v>
      </c>
      <c r="Z5" s="34" t="n">
        <f aca="false">IF(25=Assumptions!$B$38,Assumptions!$B$37,0)</f>
        <v>0</v>
      </c>
      <c r="AA5" s="34" t="n">
        <f aca="false">IF(26=Assumptions!$B$38,Assumptions!$B$37,0)</f>
        <v>0</v>
      </c>
      <c r="AB5" s="34" t="n">
        <f aca="false">IF(27=Assumptions!$B$38,Assumptions!$B$37,0)</f>
        <v>0</v>
      </c>
      <c r="AC5" s="34" t="n">
        <f aca="false">IF(28=Assumptions!$B$38,Assumptions!$B$37,0)</f>
        <v>0</v>
      </c>
      <c r="AD5" s="34" t="n">
        <f aca="false">IF(29=Assumptions!$B$38,Assumptions!$B$37,0)</f>
        <v>0</v>
      </c>
      <c r="AE5" s="34" t="n">
        <f aca="false">IF(30=Assumptions!$B$38,Assumptions!$B$37,0)</f>
        <v>0</v>
      </c>
      <c r="AF5" s="34" t="n">
        <f aca="false">IF(31=Assumptions!$B$38,Assumptions!$B$37,0)</f>
        <v>0</v>
      </c>
      <c r="AG5" s="34" t="n">
        <f aca="false">IF(32=Assumptions!$B$38,Assumptions!$B$37,0)</f>
        <v>0</v>
      </c>
      <c r="AH5" s="34" t="n">
        <f aca="false">IF(33=Assumptions!$B$38,Assumptions!$B$37,0)</f>
        <v>0</v>
      </c>
      <c r="AI5" s="34" t="n">
        <f aca="false">IF(34=Assumptions!$B$38,Assumptions!$B$37,0)</f>
        <v>0</v>
      </c>
      <c r="AJ5" s="34" t="n">
        <f aca="false">IF(35=Assumptions!$B$38,Assumptions!$B$37,0)</f>
        <v>0</v>
      </c>
      <c r="AK5" s="35" t="n">
        <f aca="false">IF(36=Assumptions!$B$38,Assumptions!$B$37,0)</f>
        <v>0</v>
      </c>
    </row>
    <row r="6" customFormat="false" ht="15.75" hidden="false" customHeight="true" outlineLevel="0" collapsed="false">
      <c r="A6" s="30" t="s">
        <v>173</v>
      </c>
      <c r="B6" s="36" t="n">
        <f aca="false">B4+B5</f>
        <v>19700</v>
      </c>
      <c r="C6" s="36" t="n">
        <f aca="false">C4+C5</f>
        <v>30919</v>
      </c>
      <c r="D6" s="36" t="n">
        <f aca="false">D4+D5</f>
        <v>43342.13</v>
      </c>
      <c r="E6" s="36" t="n">
        <f aca="false">E4+E5</f>
        <v>57163.1551</v>
      </c>
      <c r="F6" s="36" t="n">
        <f aca="false">F4+F5</f>
        <v>72614.822477</v>
      </c>
      <c r="G6" s="36" t="n">
        <f aca="false">G4+G5</f>
        <v>89963.84973079</v>
      </c>
      <c r="H6" s="36" t="n">
        <f aca="false">H4+H5</f>
        <v>109515.860268053</v>
      </c>
      <c r="I6" s="36" t="n">
        <f aca="false">I4+I5</f>
        <v>131621.270119814</v>
      </c>
      <c r="J6" s="36" t="n">
        <f aca="false">J4+J5</f>
        <v>156682.059296517</v>
      </c>
      <c r="K6" s="36" t="n">
        <f aca="false">K4+K5</f>
        <v>185159.556304545</v>
      </c>
      <c r="L6" s="36" t="n">
        <f aca="false">L4+L5</f>
        <v>217583.387845853</v>
      </c>
      <c r="M6" s="37" t="n">
        <f aca="false">M4+M5</f>
        <v>254561.768601332</v>
      </c>
      <c r="N6" s="36" t="n">
        <f aca="false">N4+N5</f>
        <v>296793.332228958</v>
      </c>
      <c r="O6" s="36" t="n">
        <f aca="false">O4+O5</f>
        <v>345080.734871612</v>
      </c>
      <c r="P6" s="36" t="n">
        <f aca="false">P4+P5</f>
        <v>400346.297158003</v>
      </c>
      <c r="Q6" s="36" t="n">
        <f aca="false">Q4+Q5</f>
        <v>463649.990572326</v>
      </c>
      <c r="R6" s="36" t="n">
        <f aca="false">R4+R5</f>
        <v>536210.11994452</v>
      </c>
      <c r="S6" s="36" t="n">
        <f aca="false">S4+S5</f>
        <v>619427.106570982</v>
      </c>
      <c r="T6" s="36" t="n">
        <f aca="false">T4+T5</f>
        <v>714910.837147429</v>
      </c>
      <c r="U6" s="36" t="n">
        <f aca="false">U4+U5</f>
        <v>824512.113468558</v>
      </c>
      <c r="V6" s="36" t="n">
        <f aca="false">V4+V5</f>
        <v>950358.818088161</v>
      </c>
      <c r="W6" s="36" t="n">
        <f aca="false">W4+W5</f>
        <v>1094897.50340849</v>
      </c>
      <c r="X6" s="36" t="n">
        <f aca="false">X4+X5</f>
        <v>1260941.21778428</v>
      </c>
      <c r="Y6" s="37" t="n">
        <f aca="false">Y4+Y5</f>
        <v>1451724.50426096</v>
      </c>
      <c r="Z6" s="36" t="n">
        <f aca="false">Z4+Z5</f>
        <v>1670966.64790644</v>
      </c>
      <c r="AA6" s="36" t="n">
        <f aca="false">AA4+AA5</f>
        <v>1922944.40908618</v>
      </c>
      <c r="AB6" s="36" t="n">
        <f aca="false">AB4+AB5</f>
        <v>2212575.66563096</v>
      </c>
      <c r="AC6" s="36" t="n">
        <f aca="false">AC4+AC5</f>
        <v>2545515.60028611</v>
      </c>
      <c r="AD6" s="36" t="n">
        <f aca="false">AD4+AD5</f>
        <v>2928267.31528676</v>
      </c>
      <c r="AE6" s="36" t="n">
        <f aca="false">AE4+AE5</f>
        <v>3368309.03817738</v>
      </c>
      <c r="AF6" s="36" t="n">
        <f aca="false">AF4+AF5</f>
        <v>3874240.40760947</v>
      </c>
      <c r="AG6" s="36" t="n">
        <f aca="false">AG4+AG5</f>
        <v>4455950.70115885</v>
      </c>
      <c r="AH6" s="36" t="n">
        <f aca="false">AH4+AH5</f>
        <v>5124812.296508</v>
      </c>
      <c r="AI6" s="36" t="n">
        <f aca="false">AI4+AI5</f>
        <v>5893903.15103851</v>
      </c>
      <c r="AJ6" s="36" t="n">
        <f aca="false">AJ4+AJ5</f>
        <v>6778262.65263363</v>
      </c>
      <c r="AK6" s="37" t="n">
        <f aca="false">AK4+AK5</f>
        <v>7795185.84740881</v>
      </c>
    </row>
    <row r="7" customFormat="false" ht="6" hidden="false" customHeight="true" outlineLevel="0" collapsed="false">
      <c r="M7" s="33"/>
      <c r="Y7" s="33"/>
      <c r="AK7" s="33"/>
    </row>
    <row r="8" customFormat="false" ht="18" hidden="false" customHeight="true" outlineLevel="0" collapsed="false">
      <c r="A8" s="15" t="s">
        <v>174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2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2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26"/>
    </row>
    <row r="9" customFormat="false" ht="15.75" hidden="false" customHeight="true" outlineLevel="0" collapsed="false">
      <c r="A9" s="27" t="s">
        <v>175</v>
      </c>
      <c r="B9" s="34" t="n">
        <f aca="false">'Cost Structure'!B16</f>
        <v>98910</v>
      </c>
      <c r="C9" s="34" t="n">
        <f aca="false">'Cost Structure'!C16</f>
        <v>102275.7</v>
      </c>
      <c r="D9" s="34" t="n">
        <f aca="false">'Cost Structure'!D16</f>
        <v>106002.639</v>
      </c>
      <c r="E9" s="34" t="n">
        <f aca="false">'Cost Structure'!E16</f>
        <v>110148.94653</v>
      </c>
      <c r="F9" s="34" t="n">
        <f aca="false">'Cost Structure'!F16</f>
        <v>114784.4467431</v>
      </c>
      <c r="G9" s="34" t="n">
        <f aca="false">'Cost Structure'!G16</f>
        <v>119989.154919237</v>
      </c>
      <c r="H9" s="34" t="n">
        <f aca="false">'Cost Structure'!H16</f>
        <v>125854.758080416</v>
      </c>
      <c r="I9" s="34" t="n">
        <f aca="false">'Cost Structure'!I16</f>
        <v>132486.381035944</v>
      </c>
      <c r="J9" s="34" t="n">
        <f aca="false">'Cost Structure'!J16</f>
        <v>140004.617788955</v>
      </c>
      <c r="K9" s="34" t="n">
        <f aca="false">'Cost Structure'!K16</f>
        <v>148547.866891363</v>
      </c>
      <c r="L9" s="34" t="n">
        <f aca="false">'Cost Structure'!L16</f>
        <v>158275.016353756</v>
      </c>
      <c r="M9" s="35" t="n">
        <f aca="false">'Cost Structure'!M16</f>
        <v>169368.5305804</v>
      </c>
      <c r="N9" s="34" t="n">
        <f aca="false">'Cost Structure'!N16</f>
        <v>182037.999668687</v>
      </c>
      <c r="O9" s="34" t="n">
        <f aca="false">'Cost Structure'!O16</f>
        <v>196524.220461484</v>
      </c>
      <c r="P9" s="34" t="n">
        <f aca="false">'Cost Structure'!P16</f>
        <v>213103.889147401</v>
      </c>
      <c r="Q9" s="34" t="n">
        <f aca="false">'Cost Structure'!Q16</f>
        <v>232094.997171698</v>
      </c>
      <c r="R9" s="34" t="n">
        <f aca="false">'Cost Structure'!R16</f>
        <v>253863.035983356</v>
      </c>
      <c r="S9" s="34" t="n">
        <f aca="false">'Cost Structure'!S16</f>
        <v>278828.131971295</v>
      </c>
      <c r="T9" s="34" t="n">
        <f aca="false">'Cost Structure'!T16</f>
        <v>307473.251144229</v>
      </c>
      <c r="U9" s="34" t="n">
        <f aca="false">'Cost Structure'!U16</f>
        <v>340353.634040568</v>
      </c>
      <c r="V9" s="34" t="n">
        <f aca="false">'Cost Structure'!V16</f>
        <v>378107.645426448</v>
      </c>
      <c r="W9" s="34" t="n">
        <f aca="false">'Cost Structure'!W16</f>
        <v>421469.251022548</v>
      </c>
      <c r="X9" s="34" t="n">
        <f aca="false">'Cost Structure'!X16</f>
        <v>471282.365335283</v>
      </c>
      <c r="Y9" s="35" t="n">
        <f aca="false">'Cost Structure'!Y16</f>
        <v>528517.351278287</v>
      </c>
      <c r="Z9" s="34" t="n">
        <f aca="false">'Cost Structure'!Z16</f>
        <v>594289.994371932</v>
      </c>
      <c r="AA9" s="34" t="n">
        <f aca="false">'Cost Structure'!AA16</f>
        <v>669883.322725855</v>
      </c>
      <c r="AB9" s="34" t="n">
        <f aca="false">'Cost Structure'!AB16</f>
        <v>756772.699689287</v>
      </c>
      <c r="AC9" s="34" t="n">
        <f aca="false">'Cost Structure'!AC16</f>
        <v>856654.680085833</v>
      </c>
      <c r="AD9" s="34" t="n">
        <f aca="false">'Cost Structure'!AD16</f>
        <v>971480.194586029</v>
      </c>
      <c r="AE9" s="34" t="n">
        <f aca="false">'Cost Structure'!AE16</f>
        <v>1103492.71145321</v>
      </c>
      <c r="AF9" s="34" t="n">
        <f aca="false">'Cost Structure'!AF16</f>
        <v>1255272.12228284</v>
      </c>
      <c r="AG9" s="34" t="n">
        <f aca="false">'Cost Structure'!AG16</f>
        <v>1429785.21034766</v>
      </c>
      <c r="AH9" s="34" t="n">
        <f aca="false">'Cost Structure'!AH16</f>
        <v>1630443.6889524</v>
      </c>
      <c r="AI9" s="34" t="n">
        <f aca="false">'Cost Structure'!AI16</f>
        <v>1861170.94531155</v>
      </c>
      <c r="AJ9" s="34" t="n">
        <f aca="false">'Cost Structure'!AJ16</f>
        <v>2126478.79579009</v>
      </c>
      <c r="AK9" s="35" t="n">
        <f aca="false">'Cost Structure'!AK16</f>
        <v>2431555.75422264</v>
      </c>
    </row>
    <row r="10" customFormat="false" ht="15.75" hidden="false" customHeight="true" outlineLevel="0" collapsed="false">
      <c r="A10" s="30" t="s">
        <v>176</v>
      </c>
      <c r="B10" s="36" t="n">
        <f aca="false">B9</f>
        <v>98910</v>
      </c>
      <c r="C10" s="36" t="n">
        <f aca="false">C9</f>
        <v>102275.7</v>
      </c>
      <c r="D10" s="36" t="n">
        <f aca="false">D9</f>
        <v>106002.639</v>
      </c>
      <c r="E10" s="36" t="n">
        <f aca="false">E9</f>
        <v>110148.94653</v>
      </c>
      <c r="F10" s="36" t="n">
        <f aca="false">F9</f>
        <v>114784.4467431</v>
      </c>
      <c r="G10" s="36" t="n">
        <f aca="false">G9</f>
        <v>119989.154919237</v>
      </c>
      <c r="H10" s="36" t="n">
        <f aca="false">H9</f>
        <v>125854.758080416</v>
      </c>
      <c r="I10" s="36" t="n">
        <f aca="false">I9</f>
        <v>132486.381035944</v>
      </c>
      <c r="J10" s="36" t="n">
        <f aca="false">J9</f>
        <v>140004.617788955</v>
      </c>
      <c r="K10" s="36" t="n">
        <f aca="false">K9</f>
        <v>148547.866891363</v>
      </c>
      <c r="L10" s="36" t="n">
        <f aca="false">L9</f>
        <v>158275.016353756</v>
      </c>
      <c r="M10" s="37" t="n">
        <f aca="false">M9</f>
        <v>169368.5305804</v>
      </c>
      <c r="N10" s="36" t="n">
        <f aca="false">N9</f>
        <v>182037.999668687</v>
      </c>
      <c r="O10" s="36" t="n">
        <f aca="false">O9</f>
        <v>196524.220461484</v>
      </c>
      <c r="P10" s="36" t="n">
        <f aca="false">P9</f>
        <v>213103.889147401</v>
      </c>
      <c r="Q10" s="36" t="n">
        <f aca="false">Q9</f>
        <v>232094.997171698</v>
      </c>
      <c r="R10" s="36" t="n">
        <f aca="false">R9</f>
        <v>253863.035983356</v>
      </c>
      <c r="S10" s="36" t="n">
        <f aca="false">S9</f>
        <v>278828.131971295</v>
      </c>
      <c r="T10" s="36" t="n">
        <f aca="false">T9</f>
        <v>307473.251144229</v>
      </c>
      <c r="U10" s="36" t="n">
        <f aca="false">U9</f>
        <v>340353.634040568</v>
      </c>
      <c r="V10" s="36" t="n">
        <f aca="false">V9</f>
        <v>378107.645426448</v>
      </c>
      <c r="W10" s="36" t="n">
        <f aca="false">W9</f>
        <v>421469.251022548</v>
      </c>
      <c r="X10" s="36" t="n">
        <f aca="false">X9</f>
        <v>471282.365335283</v>
      </c>
      <c r="Y10" s="37" t="n">
        <f aca="false">Y9</f>
        <v>528517.351278287</v>
      </c>
      <c r="Z10" s="36" t="n">
        <f aca="false">Z9</f>
        <v>594289.994371932</v>
      </c>
      <c r="AA10" s="36" t="n">
        <f aca="false">AA9</f>
        <v>669883.322725855</v>
      </c>
      <c r="AB10" s="36" t="n">
        <f aca="false">AB9</f>
        <v>756772.699689287</v>
      </c>
      <c r="AC10" s="36" t="n">
        <f aca="false">AC9</f>
        <v>856654.680085833</v>
      </c>
      <c r="AD10" s="36" t="n">
        <f aca="false">AD9</f>
        <v>971480.194586029</v>
      </c>
      <c r="AE10" s="36" t="n">
        <f aca="false">AE9</f>
        <v>1103492.71145321</v>
      </c>
      <c r="AF10" s="36" t="n">
        <f aca="false">AF9</f>
        <v>1255272.12228284</v>
      </c>
      <c r="AG10" s="36" t="n">
        <f aca="false">AG9</f>
        <v>1429785.21034766</v>
      </c>
      <c r="AH10" s="36" t="n">
        <f aca="false">AH9</f>
        <v>1630443.6889524</v>
      </c>
      <c r="AI10" s="36" t="n">
        <f aca="false">AI9</f>
        <v>1861170.94531155</v>
      </c>
      <c r="AJ10" s="36" t="n">
        <f aca="false">AJ9</f>
        <v>2126478.79579009</v>
      </c>
      <c r="AK10" s="37" t="n">
        <f aca="false">AK9</f>
        <v>2431555.75422264</v>
      </c>
    </row>
    <row r="11" customFormat="false" ht="6" hidden="false" customHeight="true" outlineLevel="0" collapsed="false">
      <c r="M11" s="33"/>
      <c r="Y11" s="33"/>
      <c r="AK11" s="33"/>
    </row>
    <row r="12" customFormat="false" ht="18" hidden="false" customHeight="true" outlineLevel="0" collapsed="false">
      <c r="A12" s="15" t="s">
        <v>177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2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2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26"/>
    </row>
    <row r="13" customFormat="false" ht="15.75" hidden="false" customHeight="true" outlineLevel="0" collapsed="false">
      <c r="A13" s="38" t="s">
        <v>178</v>
      </c>
      <c r="B13" s="39" t="n">
        <f aca="false">B6-B10</f>
        <v>-79210</v>
      </c>
      <c r="C13" s="39" t="n">
        <f aca="false">C6-C10</f>
        <v>-71356.7</v>
      </c>
      <c r="D13" s="39" t="n">
        <f aca="false">D6-D10</f>
        <v>-62660.509</v>
      </c>
      <c r="E13" s="39" t="n">
        <f aca="false">E6-E10</f>
        <v>-52985.79143</v>
      </c>
      <c r="F13" s="39" t="n">
        <f aca="false">F6-F10</f>
        <v>-42169.6242661</v>
      </c>
      <c r="G13" s="39" t="n">
        <f aca="false">G6-G10</f>
        <v>-30025.305188447</v>
      </c>
      <c r="H13" s="39" t="n">
        <f aca="false">H6-H10</f>
        <v>-16338.8978123627</v>
      </c>
      <c r="I13" s="39" t="n">
        <f aca="false">I6-I10</f>
        <v>-865.110916130099</v>
      </c>
      <c r="J13" s="39" t="n">
        <f aca="false">J6-J10</f>
        <v>16677.4415075621</v>
      </c>
      <c r="K13" s="39" t="n">
        <f aca="false">K6-K10</f>
        <v>36611.6894131812</v>
      </c>
      <c r="L13" s="39" t="n">
        <f aca="false">L6-L10</f>
        <v>59308.3714920974</v>
      </c>
      <c r="M13" s="40" t="n">
        <f aca="false">M6-M10</f>
        <v>85193.2380209327</v>
      </c>
      <c r="N13" s="39" t="n">
        <f aca="false">N6-N10</f>
        <v>114755.332560271</v>
      </c>
      <c r="O13" s="39" t="n">
        <f aca="false">O6-O10</f>
        <v>148556.514410128</v>
      </c>
      <c r="P13" s="39" t="n">
        <f aca="false">P6-P10</f>
        <v>187242.408010602</v>
      </c>
      <c r="Q13" s="39" t="n">
        <f aca="false">Q6-Q10</f>
        <v>231554.993400628</v>
      </c>
      <c r="R13" s="39" t="n">
        <f aca="false">R6-R10</f>
        <v>282347.083961164</v>
      </c>
      <c r="S13" s="39" t="n">
        <f aca="false">S6-S10</f>
        <v>340598.974599688</v>
      </c>
      <c r="T13" s="39" t="n">
        <f aca="false">T6-T10</f>
        <v>407437.5860032</v>
      </c>
      <c r="U13" s="39" t="n">
        <f aca="false">U6-U10</f>
        <v>484158.479427991</v>
      </c>
      <c r="V13" s="39" t="n">
        <f aca="false">V6-V10</f>
        <v>572251.172661713</v>
      </c>
      <c r="W13" s="39" t="n">
        <f aca="false">W6-W10</f>
        <v>673428.252385946</v>
      </c>
      <c r="X13" s="39" t="n">
        <f aca="false">X6-X10</f>
        <v>789658.852448993</v>
      </c>
      <c r="Y13" s="40" t="n">
        <f aca="false">Y6-Y10</f>
        <v>923207.152982669</v>
      </c>
      <c r="Z13" s="39" t="n">
        <f aca="false">Z6-Z10</f>
        <v>1076676.65353451</v>
      </c>
      <c r="AA13" s="39" t="n">
        <f aca="false">AA6-AA10</f>
        <v>1253061.08636033</v>
      </c>
      <c r="AB13" s="39" t="n">
        <f aca="false">AB6-AB10</f>
        <v>1455802.96594167</v>
      </c>
      <c r="AC13" s="39" t="n">
        <f aca="false">AC6-AC10</f>
        <v>1688860.92020028</v>
      </c>
      <c r="AD13" s="39" t="n">
        <f aca="false">AD6-AD10</f>
        <v>1956787.12070073</v>
      </c>
      <c r="AE13" s="39" t="n">
        <f aca="false">AE6-AE10</f>
        <v>2264816.32672417</v>
      </c>
      <c r="AF13" s="39" t="n">
        <f aca="false">AF6-AF10</f>
        <v>2618968.28532663</v>
      </c>
      <c r="AG13" s="39" t="n">
        <f aca="false">AG6-AG10</f>
        <v>3026165.4908112</v>
      </c>
      <c r="AH13" s="39" t="n">
        <f aca="false">AH6-AH10</f>
        <v>3494368.6075556</v>
      </c>
      <c r="AI13" s="39" t="n">
        <f aca="false">AI6-AI10</f>
        <v>4032732.20572695</v>
      </c>
      <c r="AJ13" s="39" t="n">
        <f aca="false">AJ6-AJ10</f>
        <v>4651783.85684354</v>
      </c>
      <c r="AK13" s="40" t="n">
        <f aca="false">AK6-AK10</f>
        <v>5363630.09318616</v>
      </c>
    </row>
    <row r="14" customFormat="false" ht="15.75" hidden="false" customHeight="true" outlineLevel="0" collapsed="false">
      <c r="A14" s="38" t="s">
        <v>179</v>
      </c>
      <c r="B14" s="39" t="n">
        <f aca="false">Assumptions!$B$36+B13</f>
        <v>420790</v>
      </c>
      <c r="C14" s="39" t="n">
        <f aca="false">B14+C13</f>
        <v>349433.3</v>
      </c>
      <c r="D14" s="39" t="n">
        <f aca="false">C14+D13</f>
        <v>286772.791</v>
      </c>
      <c r="E14" s="39" t="n">
        <f aca="false">D14+E13</f>
        <v>233786.99957</v>
      </c>
      <c r="F14" s="39" t="n">
        <f aca="false">E14+F13</f>
        <v>191617.3753039</v>
      </c>
      <c r="G14" s="39" t="n">
        <f aca="false">F14+G13</f>
        <v>161592.070115453</v>
      </c>
      <c r="H14" s="39" t="n">
        <f aca="false">G14+H13</f>
        <v>145253.17230309</v>
      </c>
      <c r="I14" s="39" t="n">
        <f aca="false">H14+I13</f>
        <v>144388.06138696</v>
      </c>
      <c r="J14" s="39" t="n">
        <f aca="false">I14+J13</f>
        <v>161065.502894522</v>
      </c>
      <c r="K14" s="39" t="n">
        <f aca="false">J14+K13</f>
        <v>197677.192307703</v>
      </c>
      <c r="L14" s="39" t="n">
        <f aca="false">K14+L13</f>
        <v>256985.563799801</v>
      </c>
      <c r="M14" s="40" t="n">
        <f aca="false">L14+M13</f>
        <v>342178.801820733</v>
      </c>
      <c r="N14" s="39" t="n">
        <f aca="false">M14+N13</f>
        <v>456934.134381004</v>
      </c>
      <c r="O14" s="39" t="n">
        <f aca="false">N14+O13</f>
        <v>605490.648791133</v>
      </c>
      <c r="P14" s="39" t="n">
        <f aca="false">O14+P13</f>
        <v>792733.056801735</v>
      </c>
      <c r="Q14" s="39" t="n">
        <f aca="false">P14+Q13</f>
        <v>1024288.05020236</v>
      </c>
      <c r="R14" s="39" t="n">
        <f aca="false">Q14+R13</f>
        <v>1306635.13416353</v>
      </c>
      <c r="S14" s="39" t="n">
        <f aca="false">R14+S13</f>
        <v>1647234.10876321</v>
      </c>
      <c r="T14" s="39" t="n">
        <f aca="false">S14+T13</f>
        <v>2054671.69476641</v>
      </c>
      <c r="U14" s="39" t="n">
        <f aca="false">T14+U13</f>
        <v>2538830.17419441</v>
      </c>
      <c r="V14" s="39" t="n">
        <f aca="false">U14+V13</f>
        <v>3111081.34685612</v>
      </c>
      <c r="W14" s="39" t="n">
        <f aca="false">V14+W13</f>
        <v>3784509.59924206</v>
      </c>
      <c r="X14" s="39" t="n">
        <f aca="false">W14+X13</f>
        <v>4574168.45169106</v>
      </c>
      <c r="Y14" s="40" t="n">
        <f aca="false">X14+Y13</f>
        <v>5497375.60467373</v>
      </c>
      <c r="Z14" s="39" t="n">
        <f aca="false">Y14+Z13</f>
        <v>6574052.25820823</v>
      </c>
      <c r="AA14" s="39" t="n">
        <f aca="false">Z14+AA13</f>
        <v>7827113.34456856</v>
      </c>
      <c r="AB14" s="39" t="n">
        <f aca="false">AA14+AB13</f>
        <v>9282916.31051023</v>
      </c>
      <c r="AC14" s="39" t="n">
        <f aca="false">AB14+AC13</f>
        <v>10971777.2307105</v>
      </c>
      <c r="AD14" s="39" t="n">
        <f aca="false">AC14+AD13</f>
        <v>12928564.3514112</v>
      </c>
      <c r="AE14" s="39" t="n">
        <f aca="false">AD14+AE13</f>
        <v>15193380.6781354</v>
      </c>
      <c r="AF14" s="39" t="n">
        <f aca="false">AE14+AF13</f>
        <v>17812348.963462</v>
      </c>
      <c r="AG14" s="39" t="n">
        <f aca="false">AF14+AG13</f>
        <v>20838514.4542732</v>
      </c>
      <c r="AH14" s="39" t="n">
        <f aca="false">AG14+AH13</f>
        <v>24332883.0618288</v>
      </c>
      <c r="AI14" s="39" t="n">
        <f aca="false">AH14+AI13</f>
        <v>28365615.2675558</v>
      </c>
      <c r="AJ14" s="39" t="n">
        <f aca="false">AI14+AJ13</f>
        <v>33017399.1243993</v>
      </c>
      <c r="AK14" s="40" t="n">
        <f aca="false">AJ14+AK13</f>
        <v>38381029.2175855</v>
      </c>
    </row>
    <row r="15" customFormat="false" ht="6" hidden="false" customHeight="true" outlineLevel="0" collapsed="false">
      <c r="M15" s="33"/>
      <c r="Y15" s="33"/>
      <c r="AK15" s="33"/>
    </row>
    <row r="16" customFormat="false" ht="18" hidden="false" customHeight="true" outlineLevel="0" collapsed="false">
      <c r="A16" s="15" t="s">
        <v>180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2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2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26"/>
    </row>
    <row r="17" customFormat="false" ht="15.75" hidden="false" customHeight="true" outlineLevel="0" collapsed="false">
      <c r="A17" s="27" t="s">
        <v>181</v>
      </c>
      <c r="B17" s="43" t="n">
        <f aca="false">IF(B13&gt;=0,999,IF(B14&lt;=0,0,B14/ABS(B13)))</f>
        <v>5.31233430122459</v>
      </c>
      <c r="C17" s="43" t="n">
        <f aca="false">IF(C13&gt;=0,999,IF(C14&lt;=0,0,C14/ABS(C13)))</f>
        <v>4.89699355491496</v>
      </c>
      <c r="D17" s="43" t="n">
        <f aca="false">IF(D13&gt;=0,999,IF(D14&lt;=0,0,D14/ABS(D13)))</f>
        <v>4.57661125925421</v>
      </c>
      <c r="E17" s="43" t="n">
        <f aca="false">IF(E13&gt;=0,999,IF(E14&lt;=0,0,E14/ABS(E13)))</f>
        <v>4.41225832927037</v>
      </c>
      <c r="F17" s="43" t="n">
        <f aca="false">IF(F13&gt;=0,999,IF(F14&lt;=0,0,F14/ABS(F13)))</f>
        <v>4.54396686332205</v>
      </c>
      <c r="G17" s="43" t="n">
        <f aca="false">IF(G13&gt;=0,999,IF(G14&lt;=0,0,G14/ABS(G13)))</f>
        <v>5.38186270218594</v>
      </c>
      <c r="H17" s="43" t="n">
        <f aca="false">IF(H13&gt;=0,999,IF(H14&lt;=0,0,H14/ABS(H13)))</f>
        <v>8.89002269132166</v>
      </c>
      <c r="I17" s="43" t="n">
        <f aca="false">IF(I13&gt;=0,999,IF(I14&lt;=0,0,I14/ABS(I13)))</f>
        <v>166.901213121725</v>
      </c>
      <c r="J17" s="43" t="n">
        <f aca="false">IF(J13&gt;=0,999,IF(J14&lt;=0,0,J14/ABS(J13)))</f>
        <v>999</v>
      </c>
      <c r="K17" s="43" t="n">
        <f aca="false">IF(K13&gt;=0,999,IF(K14&lt;=0,0,K14/ABS(K13)))</f>
        <v>999</v>
      </c>
      <c r="L17" s="43" t="n">
        <f aca="false">IF(L13&gt;=0,999,IF(L14&lt;=0,0,L14/ABS(L13)))</f>
        <v>999</v>
      </c>
      <c r="M17" s="44" t="n">
        <f aca="false">IF(M13&gt;=0,999,IF(M14&lt;=0,0,M14/ABS(M13)))</f>
        <v>999</v>
      </c>
      <c r="N17" s="43" t="n">
        <f aca="false">IF(N13&gt;=0,999,IF(N14&lt;=0,0,N14/ABS(N13)))</f>
        <v>999</v>
      </c>
      <c r="O17" s="43" t="n">
        <f aca="false">IF(O13&gt;=0,999,IF(O14&lt;=0,0,O14/ABS(O13)))</f>
        <v>999</v>
      </c>
      <c r="P17" s="43" t="n">
        <f aca="false">IF(P13&gt;=0,999,IF(P14&lt;=0,0,P14/ABS(P13)))</f>
        <v>999</v>
      </c>
      <c r="Q17" s="43" t="n">
        <f aca="false">IF(Q13&gt;=0,999,IF(Q14&lt;=0,0,Q14/ABS(Q13)))</f>
        <v>999</v>
      </c>
      <c r="R17" s="43" t="n">
        <f aca="false">IF(R13&gt;=0,999,IF(R14&lt;=0,0,R14/ABS(R13)))</f>
        <v>999</v>
      </c>
      <c r="S17" s="43" t="n">
        <f aca="false">IF(S13&gt;=0,999,IF(S14&lt;=0,0,S14/ABS(S13)))</f>
        <v>999</v>
      </c>
      <c r="T17" s="43" t="n">
        <f aca="false">IF(T13&gt;=0,999,IF(T14&lt;=0,0,T14/ABS(T13)))</f>
        <v>999</v>
      </c>
      <c r="U17" s="43" t="n">
        <f aca="false">IF(U13&gt;=0,999,IF(U14&lt;=0,0,U14/ABS(U13)))</f>
        <v>999</v>
      </c>
      <c r="V17" s="43" t="n">
        <f aca="false">IF(V13&gt;=0,999,IF(V14&lt;=0,0,V14/ABS(V13)))</f>
        <v>999</v>
      </c>
      <c r="W17" s="43" t="n">
        <f aca="false">IF(W13&gt;=0,999,IF(W14&lt;=0,0,W14/ABS(W13)))</f>
        <v>999</v>
      </c>
      <c r="X17" s="43" t="n">
        <f aca="false">IF(X13&gt;=0,999,IF(X14&lt;=0,0,X14/ABS(X13)))</f>
        <v>999</v>
      </c>
      <c r="Y17" s="44" t="n">
        <f aca="false">IF(Y13&gt;=0,999,IF(Y14&lt;=0,0,Y14/ABS(Y13)))</f>
        <v>999</v>
      </c>
      <c r="Z17" s="43" t="n">
        <f aca="false">IF(Z13&gt;=0,999,IF(Z14&lt;=0,0,Z14/ABS(Z13)))</f>
        <v>999</v>
      </c>
      <c r="AA17" s="43" t="n">
        <f aca="false">IF(AA13&gt;=0,999,IF(AA14&lt;=0,0,AA14/ABS(AA13)))</f>
        <v>999</v>
      </c>
      <c r="AB17" s="43" t="n">
        <f aca="false">IF(AB13&gt;=0,999,IF(AB14&lt;=0,0,AB14/ABS(AB13)))</f>
        <v>999</v>
      </c>
      <c r="AC17" s="43" t="n">
        <f aca="false">IF(AC13&gt;=0,999,IF(AC14&lt;=0,0,AC14/ABS(AC13)))</f>
        <v>999</v>
      </c>
      <c r="AD17" s="43" t="n">
        <f aca="false">IF(AD13&gt;=0,999,IF(AD14&lt;=0,0,AD14/ABS(AD13)))</f>
        <v>999</v>
      </c>
      <c r="AE17" s="43" t="n">
        <f aca="false">IF(AE13&gt;=0,999,IF(AE14&lt;=0,0,AE14/ABS(AE13)))</f>
        <v>999</v>
      </c>
      <c r="AF17" s="43" t="n">
        <f aca="false">IF(AF13&gt;=0,999,IF(AF14&lt;=0,0,AF14/ABS(AF13)))</f>
        <v>999</v>
      </c>
      <c r="AG17" s="43" t="n">
        <f aca="false">IF(AG13&gt;=0,999,IF(AG14&lt;=0,0,AG14/ABS(AG13)))</f>
        <v>999</v>
      </c>
      <c r="AH17" s="43" t="n">
        <f aca="false">IF(AH13&gt;=0,999,IF(AH14&lt;=0,0,AH14/ABS(AH13)))</f>
        <v>999</v>
      </c>
      <c r="AI17" s="43" t="n">
        <f aca="false">IF(AI13&gt;=0,999,IF(AI14&lt;=0,0,AI14/ABS(AI13)))</f>
        <v>999</v>
      </c>
      <c r="AJ17" s="43" t="n">
        <f aca="false">IF(AJ13&gt;=0,999,IF(AJ14&lt;=0,0,AJ14/ABS(AJ13)))</f>
        <v>999</v>
      </c>
      <c r="AK17" s="44" t="n">
        <f aca="false">IF(AK13&gt;=0,999,IF(AK14&lt;=0,0,AK14/ABS(AK13)))</f>
        <v>999</v>
      </c>
    </row>
    <row r="18" customFormat="false" ht="15.75" hidden="false" customHeight="true" outlineLevel="0" collapsed="false">
      <c r="A18" s="27" t="s">
        <v>182</v>
      </c>
      <c r="B18" s="45" t="str">
        <f aca="false">IF(B13&gt;=0,"Profitable","Burning")</f>
        <v>Burning</v>
      </c>
      <c r="C18" s="45" t="str">
        <f aca="false">IF(C13&gt;=0,"Profitable","Burning")</f>
        <v>Burning</v>
      </c>
      <c r="D18" s="45" t="str">
        <f aca="false">IF(D13&gt;=0,"Profitable","Burning")</f>
        <v>Burning</v>
      </c>
      <c r="E18" s="45" t="str">
        <f aca="false">IF(E13&gt;=0,"Profitable","Burning")</f>
        <v>Burning</v>
      </c>
      <c r="F18" s="45" t="str">
        <f aca="false">IF(F13&gt;=0,"Profitable","Burning")</f>
        <v>Burning</v>
      </c>
      <c r="G18" s="45" t="str">
        <f aca="false">IF(G13&gt;=0,"Profitable","Burning")</f>
        <v>Burning</v>
      </c>
      <c r="H18" s="45" t="str">
        <f aca="false">IF(H13&gt;=0,"Profitable","Burning")</f>
        <v>Burning</v>
      </c>
      <c r="I18" s="45" t="str">
        <f aca="false">IF(I13&gt;=0,"Profitable","Burning")</f>
        <v>Burning</v>
      </c>
      <c r="J18" s="45" t="str">
        <f aca="false">IF(J13&gt;=0,"Profitable","Burning")</f>
        <v>Profitable</v>
      </c>
      <c r="K18" s="45" t="str">
        <f aca="false">IF(K13&gt;=0,"Profitable","Burning")</f>
        <v>Profitable</v>
      </c>
      <c r="L18" s="45" t="str">
        <f aca="false">IF(L13&gt;=0,"Profitable","Burning")</f>
        <v>Profitable</v>
      </c>
      <c r="M18" s="46" t="str">
        <f aca="false">IF(M13&gt;=0,"Profitable","Burning")</f>
        <v>Profitable</v>
      </c>
      <c r="N18" s="45" t="str">
        <f aca="false">IF(N13&gt;=0,"Profitable","Burning")</f>
        <v>Profitable</v>
      </c>
      <c r="O18" s="45" t="str">
        <f aca="false">IF(O13&gt;=0,"Profitable","Burning")</f>
        <v>Profitable</v>
      </c>
      <c r="P18" s="45" t="str">
        <f aca="false">IF(P13&gt;=0,"Profitable","Burning")</f>
        <v>Profitable</v>
      </c>
      <c r="Q18" s="45" t="str">
        <f aca="false">IF(Q13&gt;=0,"Profitable","Burning")</f>
        <v>Profitable</v>
      </c>
      <c r="R18" s="45" t="str">
        <f aca="false">IF(R13&gt;=0,"Profitable","Burning")</f>
        <v>Profitable</v>
      </c>
      <c r="S18" s="45" t="str">
        <f aca="false">IF(S13&gt;=0,"Profitable","Burning")</f>
        <v>Profitable</v>
      </c>
      <c r="T18" s="45" t="str">
        <f aca="false">IF(T13&gt;=0,"Profitable","Burning")</f>
        <v>Profitable</v>
      </c>
      <c r="U18" s="45" t="str">
        <f aca="false">IF(U13&gt;=0,"Profitable","Burning")</f>
        <v>Profitable</v>
      </c>
      <c r="V18" s="45" t="str">
        <f aca="false">IF(V13&gt;=0,"Profitable","Burning")</f>
        <v>Profitable</v>
      </c>
      <c r="W18" s="45" t="str">
        <f aca="false">IF(W13&gt;=0,"Profitable","Burning")</f>
        <v>Profitable</v>
      </c>
      <c r="X18" s="45" t="str">
        <f aca="false">IF(X13&gt;=0,"Profitable","Burning")</f>
        <v>Profitable</v>
      </c>
      <c r="Y18" s="46" t="str">
        <f aca="false">IF(Y13&gt;=0,"Profitable","Burning")</f>
        <v>Profitable</v>
      </c>
      <c r="Z18" s="45" t="str">
        <f aca="false">IF(Z13&gt;=0,"Profitable","Burning")</f>
        <v>Profitable</v>
      </c>
      <c r="AA18" s="45" t="str">
        <f aca="false">IF(AA13&gt;=0,"Profitable","Burning")</f>
        <v>Profitable</v>
      </c>
      <c r="AB18" s="45" t="str">
        <f aca="false">IF(AB13&gt;=0,"Profitable","Burning")</f>
        <v>Profitable</v>
      </c>
      <c r="AC18" s="45" t="str">
        <f aca="false">IF(AC13&gt;=0,"Profitable","Burning")</f>
        <v>Profitable</v>
      </c>
      <c r="AD18" s="45" t="str">
        <f aca="false">IF(AD13&gt;=0,"Profitable","Burning")</f>
        <v>Profitable</v>
      </c>
      <c r="AE18" s="45" t="str">
        <f aca="false">IF(AE13&gt;=0,"Profitable","Burning")</f>
        <v>Profitable</v>
      </c>
      <c r="AF18" s="45" t="str">
        <f aca="false">IF(AF13&gt;=0,"Profitable","Burning")</f>
        <v>Profitable</v>
      </c>
      <c r="AG18" s="45" t="str">
        <f aca="false">IF(AG13&gt;=0,"Profitable","Burning")</f>
        <v>Profitable</v>
      </c>
      <c r="AH18" s="45" t="str">
        <f aca="false">IF(AH13&gt;=0,"Profitable","Burning")</f>
        <v>Profitable</v>
      </c>
      <c r="AI18" s="45" t="str">
        <f aca="false">IF(AI13&gt;=0,"Profitable","Burning")</f>
        <v>Profitable</v>
      </c>
      <c r="AJ18" s="45" t="str">
        <f aca="false">IF(AJ13&gt;=0,"Profitable","Burning")</f>
        <v>Profitable</v>
      </c>
      <c r="AK18" s="46" t="str">
        <f aca="false">IF(AK13&gt;=0,"Profitable","Burning")</f>
        <v>Profitable</v>
      </c>
    </row>
    <row r="19" customFormat="false" ht="6" hidden="false" customHeight="true" outlineLevel="0" collapsed="false">
      <c r="M19" s="33"/>
      <c r="Y19" s="33"/>
      <c r="AK19" s="33"/>
    </row>
    <row r="20" customFormat="false" ht="6" hidden="false" customHeight="true" outlineLevel="0" collapsed="false">
      <c r="M20" s="33"/>
      <c r="Y20" s="33"/>
      <c r="AK20" s="33"/>
    </row>
    <row r="22" customFormat="false" ht="15" hidden="false" customHeight="false" outlineLevel="0" collapsed="false">
      <c r="A22" s="22" t="s">
        <v>99</v>
      </c>
      <c r="B22" s="22"/>
      <c r="C22" s="22"/>
      <c r="D22" s="22"/>
      <c r="E22" s="22"/>
      <c r="F22" s="22"/>
      <c r="G22" s="22"/>
      <c r="H22" s="22"/>
    </row>
  </sheetData>
  <mergeCells count="2">
    <mergeCell ref="A1:M1"/>
    <mergeCell ref="A22:H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2BBEB"/>
    <pageSetUpPr fitToPage="true"/>
  </sheetPr>
  <dimension ref="A1:AK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37" min="2" style="0" width="11"/>
  </cols>
  <sheetData>
    <row r="1" customFormat="false" ht="30" hidden="false" customHeight="true" outlineLevel="0" collapsed="false">
      <c r="A1" s="13" t="s">
        <v>183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</row>
    <row r="2" customFormat="false" ht="19.5" hidden="false" customHeight="true" outlineLevel="0" collapsed="false">
      <c r="A2" s="23" t="s">
        <v>101</v>
      </c>
      <c r="B2" s="24" t="s">
        <v>102</v>
      </c>
      <c r="C2" s="24" t="s">
        <v>103</v>
      </c>
      <c r="D2" s="24" t="s">
        <v>104</v>
      </c>
      <c r="E2" s="24" t="s">
        <v>105</v>
      </c>
      <c r="F2" s="24" t="s">
        <v>106</v>
      </c>
      <c r="G2" s="24" t="s">
        <v>107</v>
      </c>
      <c r="H2" s="24" t="s">
        <v>108</v>
      </c>
      <c r="I2" s="24" t="s">
        <v>109</v>
      </c>
      <c r="J2" s="24" t="s">
        <v>110</v>
      </c>
      <c r="K2" s="24" t="s">
        <v>111</v>
      </c>
      <c r="L2" s="24" t="s">
        <v>112</v>
      </c>
      <c r="M2" s="25" t="s">
        <v>113</v>
      </c>
      <c r="N2" s="24" t="s">
        <v>114</v>
      </c>
      <c r="O2" s="24" t="s">
        <v>115</v>
      </c>
      <c r="P2" s="24" t="s">
        <v>116</v>
      </c>
      <c r="Q2" s="24" t="s">
        <v>117</v>
      </c>
      <c r="R2" s="24" t="s">
        <v>118</v>
      </c>
      <c r="S2" s="24" t="s">
        <v>119</v>
      </c>
      <c r="T2" s="24" t="s">
        <v>120</v>
      </c>
      <c r="U2" s="24" t="s">
        <v>121</v>
      </c>
      <c r="V2" s="24" t="s">
        <v>122</v>
      </c>
      <c r="W2" s="24" t="s">
        <v>123</v>
      </c>
      <c r="X2" s="24" t="s">
        <v>124</v>
      </c>
      <c r="Y2" s="25" t="s">
        <v>125</v>
      </c>
      <c r="Z2" s="24" t="s">
        <v>126</v>
      </c>
      <c r="AA2" s="24" t="s">
        <v>127</v>
      </c>
      <c r="AB2" s="24" t="s">
        <v>128</v>
      </c>
      <c r="AC2" s="24" t="s">
        <v>129</v>
      </c>
      <c r="AD2" s="24" t="s">
        <v>130</v>
      </c>
      <c r="AE2" s="24" t="s">
        <v>131</v>
      </c>
      <c r="AF2" s="24" t="s">
        <v>132</v>
      </c>
      <c r="AG2" s="24" t="s">
        <v>133</v>
      </c>
      <c r="AH2" s="24" t="s">
        <v>134</v>
      </c>
      <c r="AI2" s="24" t="s">
        <v>135</v>
      </c>
      <c r="AJ2" s="24" t="s">
        <v>136</v>
      </c>
      <c r="AK2" s="25" t="s">
        <v>137</v>
      </c>
    </row>
    <row r="3" customFormat="false" ht="18" hidden="false" customHeight="true" outlineLevel="0" collapsed="false">
      <c r="A3" s="15" t="s">
        <v>184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2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2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26"/>
    </row>
    <row r="4" customFormat="false" ht="15.75" hidden="false" customHeight="true" outlineLevel="0" collapsed="false">
      <c r="A4" s="27" t="s">
        <v>185</v>
      </c>
      <c r="B4" s="34" t="n">
        <f aca="false">IF('Revenue Model'!B7&gt;0,'Revenue Model'!B14/'Revenue Model'!B7,0)</f>
        <v>205.294736842105</v>
      </c>
      <c r="C4" s="34" t="n">
        <f aca="false">IF('Revenue Model'!C7&gt;0,'Revenue Model'!C14/'Revenue Model'!C7,0)</f>
        <v>149.134275274056</v>
      </c>
      <c r="D4" s="34" t="n">
        <f aca="false">IF('Revenue Model'!D7&gt;0,'Revenue Model'!D14/'Revenue Model'!D7,0)</f>
        <v>131.124057297834</v>
      </c>
      <c r="E4" s="34" t="n">
        <f aca="false">IF('Revenue Model'!E7&gt;0,'Revenue Model'!E14/'Revenue Model'!E7,0)</f>
        <v>122.237648082663</v>
      </c>
      <c r="F4" s="34" t="n">
        <f aca="false">IF('Revenue Model'!F7&gt;0,'Revenue Model'!F14/'Revenue Model'!F7,0)</f>
        <v>116.946234946932</v>
      </c>
      <c r="G4" s="34" t="n">
        <f aca="false">IF('Revenue Model'!G7&gt;0,'Revenue Model'!G14/'Revenue Model'!G7,0)</f>
        <v>113.440898200587</v>
      </c>
      <c r="H4" s="34" t="n">
        <f aca="false">IF('Revenue Model'!H7&gt;0,'Revenue Model'!H14/'Revenue Model'!H7,0)</f>
        <v>110.954249558626</v>
      </c>
      <c r="I4" s="34" t="n">
        <f aca="false">IF('Revenue Model'!I7&gt;0,'Revenue Model'!I14/'Revenue Model'!I7,0)</f>
        <v>109.104929868517</v>
      </c>
      <c r="J4" s="34" t="n">
        <f aca="false">IF('Revenue Model'!J7&gt;0,'Revenue Model'!J14/'Revenue Model'!J7,0)</f>
        <v>107.681800022876</v>
      </c>
      <c r="K4" s="34" t="n">
        <f aca="false">IF('Revenue Model'!K7&gt;0,'Revenue Model'!K14/'Revenue Model'!K7,0)</f>
        <v>106.558340709948</v>
      </c>
      <c r="L4" s="34" t="n">
        <f aca="false">IF('Revenue Model'!L7&gt;0,'Revenue Model'!L14/'Revenue Model'!L7,0)</f>
        <v>105.653985739222</v>
      </c>
      <c r="M4" s="35" t="n">
        <f aca="false">IF('Revenue Model'!M7&gt;0,'Revenue Model'!M14/'Revenue Model'!M7,0)</f>
        <v>104.914884940059</v>
      </c>
      <c r="N4" s="34" t="n">
        <f aca="false">IF('Revenue Model'!N7&gt;0,'Revenue Model'!N14/'Revenue Model'!N7,0)</f>
        <v>104.303589566781</v>
      </c>
      <c r="O4" s="34" t="n">
        <f aca="false">IF('Revenue Model'!O7&gt;0,'Revenue Model'!O14/'Revenue Model'!O7,0)</f>
        <v>103.793180602546</v>
      </c>
      <c r="P4" s="34" t="n">
        <f aca="false">IF('Revenue Model'!P7&gt;0,'Revenue Model'!P14/'Revenue Model'!P7,0)</f>
        <v>103.363758141874</v>
      </c>
      <c r="Q4" s="34" t="n">
        <f aca="false">IF('Revenue Model'!Q7&gt;0,'Revenue Model'!Q14/'Revenue Model'!Q7,0)</f>
        <v>103.000254485855</v>
      </c>
      <c r="R4" s="34" t="n">
        <f aca="false">IF('Revenue Model'!R7&gt;0,'Revenue Model'!R14/'Revenue Model'!R7,0)</f>
        <v>102.691023350852</v>
      </c>
      <c r="S4" s="34" t="n">
        <f aca="false">IF('Revenue Model'!S7&gt;0,'Revenue Model'!S14/'Revenue Model'!S7,0)</f>
        <v>102.426901762448</v>
      </c>
      <c r="T4" s="34" t="n">
        <f aca="false">IF('Revenue Model'!T7&gt;0,'Revenue Model'!T14/'Revenue Model'!T7,0)</f>
        <v>102.20056940688</v>
      </c>
      <c r="U4" s="34" t="n">
        <f aca="false">IF('Revenue Model'!U7&gt;0,'Revenue Model'!U14/'Revenue Model'!U7,0)</f>
        <v>102.006100578102</v>
      </c>
      <c r="V4" s="34" t="n">
        <f aca="false">IF('Revenue Model'!V7&gt;0,'Revenue Model'!V14/'Revenue Model'!V7,0)</f>
        <v>101.83864399473</v>
      </c>
      <c r="W4" s="34" t="n">
        <f aca="false">IF('Revenue Model'!W7&gt;0,'Revenue Model'!W14/'Revenue Model'!W7,0)</f>
        <v>101.694189436704</v>
      </c>
      <c r="X4" s="34" t="n">
        <f aca="false">IF('Revenue Model'!X7&gt;0,'Revenue Model'!X14/'Revenue Model'!X7,0)</f>
        <v>101.56939453614</v>
      </c>
      <c r="Y4" s="35" t="n">
        <f aca="false">IF('Revenue Model'!Y7&gt;0,'Revenue Model'!Y14/'Revenue Model'!Y7,0)</f>
        <v>101.461454027806</v>
      </c>
      <c r="Z4" s="34" t="n">
        <f aca="false">IF('Revenue Model'!Z7&gt;0,'Revenue Model'!Z14/'Revenue Model'!Z7,0)</f>
        <v>101.367999490614</v>
      </c>
      <c r="AA4" s="34" t="n">
        <f aca="false">IF('Revenue Model'!AA7&gt;0,'Revenue Model'!AA14/'Revenue Model'!AA7,0)</f>
        <v>101.287021342493</v>
      </c>
      <c r="AB4" s="34" t="n">
        <f aca="false">IF('Revenue Model'!AB7&gt;0,'Revenue Model'!AB14/'Revenue Model'!AB7,0)</f>
        <v>101.216807327581</v>
      </c>
      <c r="AC4" s="34" t="n">
        <f aca="false">IF('Revenue Model'!AC7&gt;0,'Revenue Model'!AC14/'Revenue Model'!AC7,0)</f>
        <v>101.155893406096</v>
      </c>
      <c r="AD4" s="34" t="n">
        <f aca="false">IF('Revenue Model'!AD7&gt;0,'Revenue Model'!AD14/'Revenue Model'!AD7,0)</f>
        <v>101.103024102568</v>
      </c>
      <c r="AE4" s="34" t="n">
        <f aca="false">IF('Revenue Model'!AE7&gt;0,'Revenue Model'!AE14/'Revenue Model'!AE7,0)</f>
        <v>101.057120163905</v>
      </c>
      <c r="AF4" s="34" t="n">
        <f aca="false">IF('Revenue Model'!AF7&gt;0,'Revenue Model'!AF14/'Revenue Model'!AF7,0)</f>
        <v>101.017251938828</v>
      </c>
      <c r="AG4" s="34" t="n">
        <f aca="false">IF('Revenue Model'!AG7&gt;0,'Revenue Model'!AG14/'Revenue Model'!AG7,0)</f>
        <v>100.982617289271</v>
      </c>
      <c r="AH4" s="34" t="n">
        <f aca="false">IF('Revenue Model'!AH7&gt;0,'Revenue Model'!AH14/'Revenue Model'!AH7,0)</f>
        <v>100.952523131981</v>
      </c>
      <c r="AI4" s="34" t="n">
        <f aca="false">IF('Revenue Model'!AI7&gt;0,'Revenue Model'!AI14/'Revenue Model'!AI7,0)</f>
        <v>100.926369918237</v>
      </c>
      <c r="AJ4" s="34" t="n">
        <f aca="false">IF('Revenue Model'!AJ7&gt;0,'Revenue Model'!AJ14/'Revenue Model'!AJ7,0)</f>
        <v>100.903638514204</v>
      </c>
      <c r="AK4" s="35" t="n">
        <f aca="false">IF('Revenue Model'!AK7&gt;0,'Revenue Model'!AK14/'Revenue Model'!AK7,0)</f>
        <v>100.883879059681</v>
      </c>
    </row>
    <row r="5" customFormat="false" ht="15.75" hidden="false" customHeight="true" outlineLevel="0" collapsed="false">
      <c r="A5" s="27" t="s">
        <v>186</v>
      </c>
      <c r="B5" s="47" t="n">
        <f aca="false">IF(Assumptions!$B$17&gt;0,1/Assumptions!$B$17,0)</f>
        <v>20</v>
      </c>
      <c r="C5" s="47" t="n">
        <f aca="false">IF(Assumptions!$B$17&gt;0,1/Assumptions!$B$17,0)</f>
        <v>20</v>
      </c>
      <c r="D5" s="47" t="n">
        <f aca="false">IF(Assumptions!$B$17&gt;0,1/Assumptions!$B$17,0)</f>
        <v>20</v>
      </c>
      <c r="E5" s="47" t="n">
        <f aca="false">IF(Assumptions!$B$17&gt;0,1/Assumptions!$B$17,0)</f>
        <v>20</v>
      </c>
      <c r="F5" s="47" t="n">
        <f aca="false">IF(Assumptions!$B$17&gt;0,1/Assumptions!$B$17,0)</f>
        <v>20</v>
      </c>
      <c r="G5" s="47" t="n">
        <f aca="false">IF(Assumptions!$B$17&gt;0,1/Assumptions!$B$17,0)</f>
        <v>20</v>
      </c>
      <c r="H5" s="47" t="n">
        <f aca="false">IF(Assumptions!$B$17&gt;0,1/Assumptions!$B$17,0)</f>
        <v>20</v>
      </c>
      <c r="I5" s="47" t="n">
        <f aca="false">IF(Assumptions!$B$17&gt;0,1/Assumptions!$B$17,0)</f>
        <v>20</v>
      </c>
      <c r="J5" s="47" t="n">
        <f aca="false">IF(Assumptions!$B$17&gt;0,1/Assumptions!$B$17,0)</f>
        <v>20</v>
      </c>
      <c r="K5" s="47" t="n">
        <f aca="false">IF(Assumptions!$B$17&gt;0,1/Assumptions!$B$17,0)</f>
        <v>20</v>
      </c>
      <c r="L5" s="47" t="n">
        <f aca="false">IF(Assumptions!$B$17&gt;0,1/Assumptions!$B$17,0)</f>
        <v>20</v>
      </c>
      <c r="M5" s="48" t="n">
        <f aca="false">IF(Assumptions!$B$17&gt;0,1/Assumptions!$B$17,0)</f>
        <v>20</v>
      </c>
      <c r="N5" s="47" t="n">
        <f aca="false">IF(Assumptions!$B$17&gt;0,1/Assumptions!$B$17,0)</f>
        <v>20</v>
      </c>
      <c r="O5" s="47" t="n">
        <f aca="false">IF(Assumptions!$B$17&gt;0,1/Assumptions!$B$17,0)</f>
        <v>20</v>
      </c>
      <c r="P5" s="47" t="n">
        <f aca="false">IF(Assumptions!$B$17&gt;0,1/Assumptions!$B$17,0)</f>
        <v>20</v>
      </c>
      <c r="Q5" s="47" t="n">
        <f aca="false">IF(Assumptions!$B$17&gt;0,1/Assumptions!$B$17,0)</f>
        <v>20</v>
      </c>
      <c r="R5" s="47" t="n">
        <f aca="false">IF(Assumptions!$B$17&gt;0,1/Assumptions!$B$17,0)</f>
        <v>20</v>
      </c>
      <c r="S5" s="47" t="n">
        <f aca="false">IF(Assumptions!$B$17&gt;0,1/Assumptions!$B$17,0)</f>
        <v>20</v>
      </c>
      <c r="T5" s="47" t="n">
        <f aca="false">IF(Assumptions!$B$17&gt;0,1/Assumptions!$B$17,0)</f>
        <v>20</v>
      </c>
      <c r="U5" s="47" t="n">
        <f aca="false">IF(Assumptions!$B$17&gt;0,1/Assumptions!$B$17,0)</f>
        <v>20</v>
      </c>
      <c r="V5" s="47" t="n">
        <f aca="false">IF(Assumptions!$B$17&gt;0,1/Assumptions!$B$17,0)</f>
        <v>20</v>
      </c>
      <c r="W5" s="47" t="n">
        <f aca="false">IF(Assumptions!$B$17&gt;0,1/Assumptions!$B$17,0)</f>
        <v>20</v>
      </c>
      <c r="X5" s="47" t="n">
        <f aca="false">IF(Assumptions!$B$17&gt;0,1/Assumptions!$B$17,0)</f>
        <v>20</v>
      </c>
      <c r="Y5" s="48" t="n">
        <f aca="false">IF(Assumptions!$B$17&gt;0,1/Assumptions!$B$17,0)</f>
        <v>20</v>
      </c>
      <c r="Z5" s="47" t="n">
        <f aca="false">IF(Assumptions!$B$17&gt;0,1/Assumptions!$B$17,0)</f>
        <v>20</v>
      </c>
      <c r="AA5" s="47" t="n">
        <f aca="false">IF(Assumptions!$B$17&gt;0,1/Assumptions!$B$17,0)</f>
        <v>20</v>
      </c>
      <c r="AB5" s="47" t="n">
        <f aca="false">IF(Assumptions!$B$17&gt;0,1/Assumptions!$B$17,0)</f>
        <v>20</v>
      </c>
      <c r="AC5" s="47" t="n">
        <f aca="false">IF(Assumptions!$B$17&gt;0,1/Assumptions!$B$17,0)</f>
        <v>20</v>
      </c>
      <c r="AD5" s="47" t="n">
        <f aca="false">IF(Assumptions!$B$17&gt;0,1/Assumptions!$B$17,0)</f>
        <v>20</v>
      </c>
      <c r="AE5" s="47" t="n">
        <f aca="false">IF(Assumptions!$B$17&gt;0,1/Assumptions!$B$17,0)</f>
        <v>20</v>
      </c>
      <c r="AF5" s="47" t="n">
        <f aca="false">IF(Assumptions!$B$17&gt;0,1/Assumptions!$B$17,0)</f>
        <v>20</v>
      </c>
      <c r="AG5" s="47" t="n">
        <f aca="false">IF(Assumptions!$B$17&gt;0,1/Assumptions!$B$17,0)</f>
        <v>20</v>
      </c>
      <c r="AH5" s="47" t="n">
        <f aca="false">IF(Assumptions!$B$17&gt;0,1/Assumptions!$B$17,0)</f>
        <v>20</v>
      </c>
      <c r="AI5" s="47" t="n">
        <f aca="false">IF(Assumptions!$B$17&gt;0,1/Assumptions!$B$17,0)</f>
        <v>20</v>
      </c>
      <c r="AJ5" s="47" t="n">
        <f aca="false">IF(Assumptions!$B$17&gt;0,1/Assumptions!$B$17,0)</f>
        <v>20</v>
      </c>
      <c r="AK5" s="48" t="n">
        <f aca="false">IF(Assumptions!$B$17&gt;0,1/Assumptions!$B$17,0)</f>
        <v>20</v>
      </c>
    </row>
    <row r="6" customFormat="false" ht="15.75" hidden="false" customHeight="true" outlineLevel="0" collapsed="false">
      <c r="A6" s="38" t="s">
        <v>187</v>
      </c>
      <c r="B6" s="39" t="n">
        <f aca="false">B4*B5*'Cost Structure'!B20</f>
        <v>2874.12631578947</v>
      </c>
      <c r="C6" s="39" t="n">
        <f aca="false">C4*C5*'Cost Structure'!C20</f>
        <v>2087.87985383678</v>
      </c>
      <c r="D6" s="39" t="n">
        <f aca="false">D4*D5*'Cost Structure'!D20</f>
        <v>1835.73680216968</v>
      </c>
      <c r="E6" s="39" t="n">
        <f aca="false">E4*E5*'Cost Structure'!E20</f>
        <v>1711.32707315728</v>
      </c>
      <c r="F6" s="39" t="n">
        <f aca="false">F4*F5*'Cost Structure'!F20</f>
        <v>1637.24728925704</v>
      </c>
      <c r="G6" s="39" t="n">
        <f aca="false">G4*G5*'Cost Structure'!G20</f>
        <v>1588.17257480821</v>
      </c>
      <c r="H6" s="39" t="n">
        <f aca="false">H4*H5*'Cost Structure'!H20</f>
        <v>1553.35949382077</v>
      </c>
      <c r="I6" s="39" t="n">
        <f aca="false">I4*I5*'Cost Structure'!I20</f>
        <v>1527.46901815924</v>
      </c>
      <c r="J6" s="39" t="n">
        <f aca="false">J4*J5*'Cost Structure'!J20</f>
        <v>1507.54520032026</v>
      </c>
      <c r="K6" s="39" t="n">
        <f aca="false">K4*K5*'Cost Structure'!K20</f>
        <v>1491.81676993927</v>
      </c>
      <c r="L6" s="39" t="n">
        <f aca="false">L4*L5*'Cost Structure'!L20</f>
        <v>1479.1558003491</v>
      </c>
      <c r="M6" s="40" t="n">
        <f aca="false">M4*M5*'Cost Structure'!M20</f>
        <v>1468.80838916083</v>
      </c>
      <c r="N6" s="39" t="n">
        <f aca="false">N4*N5*'Cost Structure'!N20</f>
        <v>1460.25025393493</v>
      </c>
      <c r="O6" s="39" t="n">
        <f aca="false">O4*O5*'Cost Structure'!O20</f>
        <v>1453.10452843564</v>
      </c>
      <c r="P6" s="39" t="n">
        <f aca="false">P4*P5*'Cost Structure'!P20</f>
        <v>1447.09261398624</v>
      </c>
      <c r="Q6" s="39" t="n">
        <f aca="false">Q4*Q5*'Cost Structure'!Q20</f>
        <v>1442.00356280197</v>
      </c>
      <c r="R6" s="39" t="n">
        <f aca="false">R4*R5*'Cost Structure'!R20</f>
        <v>1437.67432691192</v>
      </c>
      <c r="S6" s="39" t="n">
        <f aca="false">S4*S5*'Cost Structure'!S20</f>
        <v>1433.97662467427</v>
      </c>
      <c r="T6" s="39" t="n">
        <f aca="false">T4*T5*'Cost Structure'!T20</f>
        <v>1430.80797169632</v>
      </c>
      <c r="U6" s="39" t="n">
        <f aca="false">U4*U5*'Cost Structure'!U20</f>
        <v>1428.08540809342</v>
      </c>
      <c r="V6" s="39" t="n">
        <f aca="false">V4*V5*'Cost Structure'!V20</f>
        <v>1425.74101592622</v>
      </c>
      <c r="W6" s="39" t="n">
        <f aca="false">W4*W5*'Cost Structure'!W20</f>
        <v>1423.71865211386</v>
      </c>
      <c r="X6" s="39" t="n">
        <f aca="false">X4*X5*'Cost Structure'!X20</f>
        <v>1421.97152350595</v>
      </c>
      <c r="Y6" s="40" t="n">
        <f aca="false">Y4*Y5*'Cost Structure'!Y20</f>
        <v>1420.46035638928</v>
      </c>
      <c r="Z6" s="39" t="n">
        <f aca="false">Z4*Z5*'Cost Structure'!Z20</f>
        <v>1419.15199286859</v>
      </c>
      <c r="AA6" s="39" t="n">
        <f aca="false">AA4*AA5*'Cost Structure'!AA20</f>
        <v>1418.0182987949</v>
      </c>
      <c r="AB6" s="39" t="n">
        <f aca="false">AB4*AB5*'Cost Structure'!AB20</f>
        <v>1417.03530258614</v>
      </c>
      <c r="AC6" s="39" t="n">
        <f aca="false">AC4*AC5*'Cost Structure'!AC20</f>
        <v>1416.18250768534</v>
      </c>
      <c r="AD6" s="39" t="n">
        <f aca="false">AD4*AD5*'Cost Structure'!AD20</f>
        <v>1415.44233743595</v>
      </c>
      <c r="AE6" s="39" t="n">
        <f aca="false">AE4*AE5*'Cost Structure'!AE20</f>
        <v>1414.79968229467</v>
      </c>
      <c r="AF6" s="39" t="n">
        <f aca="false">AF4*AF5*'Cost Structure'!AF20</f>
        <v>1414.24152714359</v>
      </c>
      <c r="AG6" s="39" t="n">
        <f aca="false">AG4*AG5*'Cost Structure'!AG20</f>
        <v>1413.7566420498</v>
      </c>
      <c r="AH6" s="39" t="n">
        <f aca="false">AH4*AH5*'Cost Structure'!AH20</f>
        <v>1413.33532384774</v>
      </c>
      <c r="AI6" s="39" t="n">
        <f aca="false">AI4*AI5*'Cost Structure'!AI20</f>
        <v>1412.96917885531</v>
      </c>
      <c r="AJ6" s="39" t="n">
        <f aca="false">AJ4*AJ5*'Cost Structure'!AJ20</f>
        <v>1412.65093919886</v>
      </c>
      <c r="AK6" s="40" t="n">
        <f aca="false">AK4*AK5*'Cost Structure'!AK20</f>
        <v>1412.37430683554</v>
      </c>
    </row>
    <row r="7" customFormat="false" ht="6" hidden="false" customHeight="true" outlineLevel="0" collapsed="false">
      <c r="M7" s="33"/>
      <c r="Y7" s="33"/>
      <c r="AK7" s="33"/>
    </row>
    <row r="8" customFormat="false" ht="18" hidden="false" customHeight="true" outlineLevel="0" collapsed="false">
      <c r="A8" s="15" t="s">
        <v>188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2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2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26"/>
    </row>
    <row r="9" customFormat="false" ht="15.75" hidden="false" customHeight="true" outlineLevel="0" collapsed="false">
      <c r="A9" s="27" t="s">
        <v>72</v>
      </c>
      <c r="B9" s="34" t="n">
        <f aca="false">Assumptions!$B$21</f>
        <v>500</v>
      </c>
      <c r="C9" s="34" t="n">
        <f aca="false">Assumptions!$B$21</f>
        <v>500</v>
      </c>
      <c r="D9" s="34" t="n">
        <f aca="false">Assumptions!$B$21</f>
        <v>500</v>
      </c>
      <c r="E9" s="34" t="n">
        <f aca="false">Assumptions!$B$21</f>
        <v>500</v>
      </c>
      <c r="F9" s="34" t="n">
        <f aca="false">Assumptions!$B$21</f>
        <v>500</v>
      </c>
      <c r="G9" s="34" t="n">
        <f aca="false">Assumptions!$B$21</f>
        <v>500</v>
      </c>
      <c r="H9" s="34" t="n">
        <f aca="false">Assumptions!$B$21</f>
        <v>500</v>
      </c>
      <c r="I9" s="34" t="n">
        <f aca="false">Assumptions!$B$21</f>
        <v>500</v>
      </c>
      <c r="J9" s="34" t="n">
        <f aca="false">Assumptions!$B$21</f>
        <v>500</v>
      </c>
      <c r="K9" s="34" t="n">
        <f aca="false">Assumptions!$B$21</f>
        <v>500</v>
      </c>
      <c r="L9" s="34" t="n">
        <f aca="false">Assumptions!$B$21</f>
        <v>500</v>
      </c>
      <c r="M9" s="35" t="n">
        <f aca="false">Assumptions!$B$21</f>
        <v>500</v>
      </c>
      <c r="N9" s="34" t="n">
        <f aca="false">Assumptions!$B$21</f>
        <v>500</v>
      </c>
      <c r="O9" s="34" t="n">
        <f aca="false">Assumptions!$B$21</f>
        <v>500</v>
      </c>
      <c r="P9" s="34" t="n">
        <f aca="false">Assumptions!$B$21</f>
        <v>500</v>
      </c>
      <c r="Q9" s="34" t="n">
        <f aca="false">Assumptions!$B$21</f>
        <v>500</v>
      </c>
      <c r="R9" s="34" t="n">
        <f aca="false">Assumptions!$B$21</f>
        <v>500</v>
      </c>
      <c r="S9" s="34" t="n">
        <f aca="false">Assumptions!$B$21</f>
        <v>500</v>
      </c>
      <c r="T9" s="34" t="n">
        <f aca="false">Assumptions!$B$21</f>
        <v>500</v>
      </c>
      <c r="U9" s="34" t="n">
        <f aca="false">Assumptions!$B$21</f>
        <v>500</v>
      </c>
      <c r="V9" s="34" t="n">
        <f aca="false">Assumptions!$B$21</f>
        <v>500</v>
      </c>
      <c r="W9" s="34" t="n">
        <f aca="false">Assumptions!$B$21</f>
        <v>500</v>
      </c>
      <c r="X9" s="34" t="n">
        <f aca="false">Assumptions!$B$21</f>
        <v>500</v>
      </c>
      <c r="Y9" s="35" t="n">
        <f aca="false">Assumptions!$B$21</f>
        <v>500</v>
      </c>
      <c r="Z9" s="34" t="n">
        <f aca="false">Assumptions!$B$21</f>
        <v>500</v>
      </c>
      <c r="AA9" s="34" t="n">
        <f aca="false">Assumptions!$B$21</f>
        <v>500</v>
      </c>
      <c r="AB9" s="34" t="n">
        <f aca="false">Assumptions!$B$21</f>
        <v>500</v>
      </c>
      <c r="AC9" s="34" t="n">
        <f aca="false">Assumptions!$B$21</f>
        <v>500</v>
      </c>
      <c r="AD9" s="34" t="n">
        <f aca="false">Assumptions!$B$21</f>
        <v>500</v>
      </c>
      <c r="AE9" s="34" t="n">
        <f aca="false">Assumptions!$B$21</f>
        <v>500</v>
      </c>
      <c r="AF9" s="34" t="n">
        <f aca="false">Assumptions!$B$21</f>
        <v>500</v>
      </c>
      <c r="AG9" s="34" t="n">
        <f aca="false">Assumptions!$B$21</f>
        <v>500</v>
      </c>
      <c r="AH9" s="34" t="n">
        <f aca="false">Assumptions!$B$21</f>
        <v>500</v>
      </c>
      <c r="AI9" s="34" t="n">
        <f aca="false">Assumptions!$B$21</f>
        <v>500</v>
      </c>
      <c r="AJ9" s="34" t="n">
        <f aca="false">Assumptions!$B$21</f>
        <v>500</v>
      </c>
      <c r="AK9" s="35" t="n">
        <f aca="false">Assumptions!$B$21</f>
        <v>500</v>
      </c>
    </row>
    <row r="10" customFormat="false" ht="15.75" hidden="false" customHeight="true" outlineLevel="0" collapsed="false">
      <c r="A10" s="38" t="s">
        <v>189</v>
      </c>
      <c r="B10" s="49" t="n">
        <f aca="false">IF(B9&gt;0,B6/B9,0)</f>
        <v>5.74825263157895</v>
      </c>
      <c r="C10" s="49" t="n">
        <f aca="false">IF(C9&gt;0,C6/C9,0)</f>
        <v>4.17575970767357</v>
      </c>
      <c r="D10" s="49" t="n">
        <f aca="false">IF(D9&gt;0,D6/D9,0)</f>
        <v>3.67147360433936</v>
      </c>
      <c r="E10" s="49" t="n">
        <f aca="false">IF(E9&gt;0,E6/E9,0)</f>
        <v>3.42265414631457</v>
      </c>
      <c r="F10" s="49" t="n">
        <f aca="false">IF(F9&gt;0,F6/F9,0)</f>
        <v>3.27449457851408</v>
      </c>
      <c r="G10" s="49" t="n">
        <f aca="false">IF(G9&gt;0,G6/G9,0)</f>
        <v>3.17634514961642</v>
      </c>
      <c r="H10" s="49" t="n">
        <f aca="false">IF(H9&gt;0,H6/H9,0)</f>
        <v>3.10671898764154</v>
      </c>
      <c r="I10" s="49" t="n">
        <f aca="false">IF(I9&gt;0,I6/I9,0)</f>
        <v>3.05493803631848</v>
      </c>
      <c r="J10" s="49" t="n">
        <f aca="false">IF(J9&gt;0,J6/J9,0)</f>
        <v>3.01509040064052</v>
      </c>
      <c r="K10" s="49" t="n">
        <f aca="false">IF(K9&gt;0,K6/K9,0)</f>
        <v>2.98363353987855</v>
      </c>
      <c r="L10" s="49" t="n">
        <f aca="false">IF(L9&gt;0,L6/L9,0)</f>
        <v>2.95831160069821</v>
      </c>
      <c r="M10" s="50" t="n">
        <f aca="false">IF(M9&gt;0,M6/M9,0)</f>
        <v>2.93761677832166</v>
      </c>
      <c r="N10" s="49" t="n">
        <f aca="false">IF(N9&gt;0,N6/N9,0)</f>
        <v>2.92050050786986</v>
      </c>
      <c r="O10" s="49" t="n">
        <f aca="false">IF(O9&gt;0,O6/O9,0)</f>
        <v>2.90620905687128</v>
      </c>
      <c r="P10" s="49" t="n">
        <f aca="false">IF(P9&gt;0,P6/P9,0)</f>
        <v>2.89418522797248</v>
      </c>
      <c r="Q10" s="49" t="n">
        <f aca="false">IF(Q9&gt;0,Q6/Q9,0)</f>
        <v>2.88400712560393</v>
      </c>
      <c r="R10" s="49" t="n">
        <f aca="false">IF(R9&gt;0,R6/R9,0)</f>
        <v>2.87534865382385</v>
      </c>
      <c r="S10" s="49" t="n">
        <f aca="false">IF(S9&gt;0,S6/S9,0)</f>
        <v>2.86795324934855</v>
      </c>
      <c r="T10" s="49" t="n">
        <f aca="false">IF(T9&gt;0,T6/T9,0)</f>
        <v>2.86161594339264</v>
      </c>
      <c r="U10" s="49" t="n">
        <f aca="false">IF(U9&gt;0,U6/U9,0)</f>
        <v>2.85617081618685</v>
      </c>
      <c r="V10" s="49" t="n">
        <f aca="false">IF(V9&gt;0,V6/V9,0)</f>
        <v>2.85148203185244</v>
      </c>
      <c r="W10" s="49" t="n">
        <f aca="false">IF(W9&gt;0,W6/W9,0)</f>
        <v>2.84743730422772</v>
      </c>
      <c r="X10" s="49" t="n">
        <f aca="false">IF(X9&gt;0,X6/X9,0)</f>
        <v>2.84394304701191</v>
      </c>
      <c r="Y10" s="50" t="n">
        <f aca="false">IF(Y9&gt;0,Y6/Y9,0)</f>
        <v>2.84092071277857</v>
      </c>
      <c r="Z10" s="49" t="n">
        <f aca="false">IF(Z9&gt;0,Z6/Z9,0)</f>
        <v>2.83830398573718</v>
      </c>
      <c r="AA10" s="49" t="n">
        <f aca="false">IF(AA9&gt;0,AA6/AA9,0)</f>
        <v>2.83603659758979</v>
      </c>
      <c r="AB10" s="49" t="n">
        <f aca="false">IF(AB9&gt;0,AB6/AB9,0)</f>
        <v>2.83407060517227</v>
      </c>
      <c r="AC10" s="49" t="n">
        <f aca="false">IF(AC9&gt;0,AC6/AC9,0)</f>
        <v>2.83236501537068</v>
      </c>
      <c r="AD10" s="49" t="n">
        <f aca="false">IF(AD9&gt;0,AD6/AD9,0)</f>
        <v>2.8308846748719</v>
      </c>
      <c r="AE10" s="49" t="n">
        <f aca="false">IF(AE9&gt;0,AE6/AE9,0)</f>
        <v>2.82959936458934</v>
      </c>
      <c r="AF10" s="49" t="n">
        <f aca="false">IF(AF9&gt;0,AF6/AF9,0)</f>
        <v>2.82848305428719</v>
      </c>
      <c r="AG10" s="49" t="n">
        <f aca="false">IF(AG9&gt;0,AG6/AG9,0)</f>
        <v>2.82751328409959</v>
      </c>
      <c r="AH10" s="49" t="n">
        <f aca="false">IF(AH9&gt;0,AH6/AH9,0)</f>
        <v>2.82667064769548</v>
      </c>
      <c r="AI10" s="49" t="n">
        <f aca="false">IF(AI9&gt;0,AI6/AI9,0)</f>
        <v>2.82593835771062</v>
      </c>
      <c r="AJ10" s="49" t="n">
        <f aca="false">IF(AJ9&gt;0,AJ6/AJ9,0)</f>
        <v>2.82530187839771</v>
      </c>
      <c r="AK10" s="50" t="n">
        <f aca="false">IF(AK9&gt;0,AK6/AK9,0)</f>
        <v>2.82474861367108</v>
      </c>
    </row>
    <row r="11" customFormat="false" ht="15.75" hidden="false" customHeight="true" outlineLevel="0" collapsed="false">
      <c r="A11" s="27" t="s">
        <v>190</v>
      </c>
      <c r="B11" s="47" t="n">
        <f aca="false">IF(B4&gt;0,B9/B4,0)</f>
        <v>2.43552274009127</v>
      </c>
      <c r="C11" s="47" t="n">
        <f aca="false">IF(C4&gt;0,C9/C4,0)</f>
        <v>3.35268333909946</v>
      </c>
      <c r="D11" s="47" t="n">
        <f aca="false">IF(D4&gt;0,D9/D4,0)</f>
        <v>3.81318280034841</v>
      </c>
      <c r="E11" s="47" t="n">
        <f aca="false">IF(E4&gt;0,E9/E4,0)</f>
        <v>4.09039283594425</v>
      </c>
      <c r="F11" s="47" t="n">
        <f aca="false">IF(F4&gt;0,F9/F4,0)</f>
        <v>4.2754689813391</v>
      </c>
      <c r="G11" s="47" t="n">
        <f aca="false">IF(G4&gt;0,G9/G4,0)</f>
        <v>4.40758146251538</v>
      </c>
      <c r="H11" s="47" t="n">
        <f aca="false">IF(H4&gt;0,H9/H4,0)</f>
        <v>4.50636187427692</v>
      </c>
      <c r="I11" s="47" t="n">
        <f aca="false">IF(I4&gt;0,I9/I4,0)</f>
        <v>4.58274434164021</v>
      </c>
      <c r="J11" s="47" t="n">
        <f aca="false">IF(J4&gt;0,J9/J4,0)</f>
        <v>4.64331019627997</v>
      </c>
      <c r="K11" s="47" t="n">
        <f aca="false">IF(K4&gt;0,K9/K4,0)</f>
        <v>4.69226525740487</v>
      </c>
      <c r="L11" s="47" t="n">
        <f aca="false">IF(L4&gt;0,L9/L4,0)</f>
        <v>4.73242913177091</v>
      </c>
      <c r="M11" s="48" t="n">
        <f aca="false">IF(M4&gt;0,M9/M4,0)</f>
        <v>4.7657679869321</v>
      </c>
      <c r="N11" s="47" t="n">
        <f aca="false">IF(N4&gt;0,N9/N4,0)</f>
        <v>4.79369887533807</v>
      </c>
      <c r="O11" s="47" t="n">
        <f aca="false">IF(O4&gt;0,O9/O4,0)</f>
        <v>4.81727216660452</v>
      </c>
      <c r="P11" s="47" t="n">
        <f aca="false">IF(P4&gt;0,P9/P4,0)</f>
        <v>4.83728541790937</v>
      </c>
      <c r="Q11" s="47" t="n">
        <f aca="false">IF(Q4&gt;0,Q9/Q4,0)</f>
        <v>4.85435693820219</v>
      </c>
      <c r="R11" s="47" t="n">
        <f aca="false">IF(R4&gt;0,R9/R4,0)</f>
        <v>4.86897475246412</v>
      </c>
      <c r="S11" s="47" t="n">
        <f aca="false">IF(S4&gt;0,S9/S4,0)</f>
        <v>4.88153006091717</v>
      </c>
      <c r="T11" s="47" t="n">
        <f aca="false">IF(T4&gt;0,T9/T4,0)</f>
        <v>4.89234064841072</v>
      </c>
      <c r="U11" s="47" t="n">
        <f aca="false">IF(U4&gt;0,U9/U4,0)</f>
        <v>4.90166761758696</v>
      </c>
      <c r="V11" s="47" t="n">
        <f aca="false">IF(V4&gt;0,V9/V4,0)</f>
        <v>4.90972758853579</v>
      </c>
      <c r="W11" s="47" t="n">
        <f aca="false">IF(W4&gt;0,W9/W4,0)</f>
        <v>4.91670175817868</v>
      </c>
      <c r="X11" s="47" t="n">
        <f aca="false">IF(X4&gt;0,X9/X4,0)</f>
        <v>4.92274274434209</v>
      </c>
      <c r="Y11" s="48" t="n">
        <f aca="false">IF(Y4&gt;0,Y9/Y4,0)</f>
        <v>4.92797984013685</v>
      </c>
      <c r="Z11" s="47" t="n">
        <f aca="false">IF(Z4&gt;0,Z9/Z4,0)</f>
        <v>4.93252310899455</v>
      </c>
      <c r="AA11" s="47" t="n">
        <f aca="false">IF(AA4&gt;0,AA9/AA4,0)</f>
        <v>4.93646662102242</v>
      </c>
      <c r="AB11" s="47" t="n">
        <f aca="false">IF(AB4&gt;0,AB9/AB4,0)</f>
        <v>4.93989104380447</v>
      </c>
      <c r="AC11" s="47" t="n">
        <f aca="false">IF(AC4&gt;0,AC9/AC4,0)</f>
        <v>4.94286574082959</v>
      </c>
      <c r="AD11" s="47" t="n">
        <f aca="false">IF(AD4&gt;0,AD9/AD4,0)</f>
        <v>4.9454504891244</v>
      </c>
      <c r="AE11" s="47" t="n">
        <f aca="false">IF(AE4&gt;0,AE9/AE4,0)</f>
        <v>4.94769689843771</v>
      </c>
      <c r="AF11" s="47" t="n">
        <f aca="false">IF(AF4&gt;0,AF9/AF4,0)</f>
        <v>4.94964959354447</v>
      </c>
      <c r="AG11" s="47" t="n">
        <f aca="false">IF(AG4&gt;0,AG9/AG4,0)</f>
        <v>4.95134720629906</v>
      </c>
      <c r="AH11" s="47" t="n">
        <f aca="false">IF(AH4&gt;0,AH9/AH4,0)</f>
        <v>4.95282321320806</v>
      </c>
      <c r="AI11" s="47" t="n">
        <f aca="false">IF(AI4&gt;0,AI9/AI4,0)</f>
        <v>4.95410664631122</v>
      </c>
      <c r="AJ11" s="47" t="n">
        <f aca="false">IF(AJ4&gt;0,AJ9/AJ4,0)</f>
        <v>4.95522269922522</v>
      </c>
      <c r="AK11" s="48" t="n">
        <f aca="false">IF(AK4&gt;0,AK9/AK4,0)</f>
        <v>4.95619324574353</v>
      </c>
    </row>
    <row r="12" customFormat="false" ht="6" hidden="false" customHeight="true" outlineLevel="0" collapsed="false">
      <c r="M12" s="33"/>
      <c r="Y12" s="33"/>
      <c r="AK12" s="33"/>
    </row>
    <row r="13" customFormat="false" ht="18" hidden="false" customHeight="true" outlineLevel="0" collapsed="false">
      <c r="A13" s="15" t="s">
        <v>191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2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2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26"/>
    </row>
    <row r="14" customFormat="false" ht="15.75" hidden="false" customHeight="true" outlineLevel="0" collapsed="false">
      <c r="A14" s="27" t="s">
        <v>167</v>
      </c>
      <c r="B14" s="51" t="n">
        <f aca="false">'Cost Structure'!B20</f>
        <v>0.7</v>
      </c>
      <c r="C14" s="51" t="n">
        <f aca="false">'Cost Structure'!C20</f>
        <v>0.7</v>
      </c>
      <c r="D14" s="51" t="n">
        <f aca="false">'Cost Structure'!D20</f>
        <v>0.7</v>
      </c>
      <c r="E14" s="51" t="n">
        <f aca="false">'Cost Structure'!E20</f>
        <v>0.7</v>
      </c>
      <c r="F14" s="51" t="n">
        <f aca="false">'Cost Structure'!F20</f>
        <v>0.7</v>
      </c>
      <c r="G14" s="51" t="n">
        <f aca="false">'Cost Structure'!G20</f>
        <v>0.7</v>
      </c>
      <c r="H14" s="51" t="n">
        <f aca="false">'Cost Structure'!H20</f>
        <v>0.7</v>
      </c>
      <c r="I14" s="51" t="n">
        <f aca="false">'Cost Structure'!I20</f>
        <v>0.7</v>
      </c>
      <c r="J14" s="51" t="n">
        <f aca="false">'Cost Structure'!J20</f>
        <v>0.7</v>
      </c>
      <c r="K14" s="51" t="n">
        <f aca="false">'Cost Structure'!K20</f>
        <v>0.7</v>
      </c>
      <c r="L14" s="51" t="n">
        <f aca="false">'Cost Structure'!L20</f>
        <v>0.7</v>
      </c>
      <c r="M14" s="52" t="n">
        <f aca="false">'Cost Structure'!M20</f>
        <v>0.7</v>
      </c>
      <c r="N14" s="51" t="n">
        <f aca="false">'Cost Structure'!N20</f>
        <v>0.7</v>
      </c>
      <c r="O14" s="51" t="n">
        <f aca="false">'Cost Structure'!O20</f>
        <v>0.7</v>
      </c>
      <c r="P14" s="51" t="n">
        <f aca="false">'Cost Structure'!P20</f>
        <v>0.7</v>
      </c>
      <c r="Q14" s="51" t="n">
        <f aca="false">'Cost Structure'!Q20</f>
        <v>0.7</v>
      </c>
      <c r="R14" s="51" t="n">
        <f aca="false">'Cost Structure'!R20</f>
        <v>0.7</v>
      </c>
      <c r="S14" s="51" t="n">
        <f aca="false">'Cost Structure'!S20</f>
        <v>0.7</v>
      </c>
      <c r="T14" s="51" t="n">
        <f aca="false">'Cost Structure'!T20</f>
        <v>0.7</v>
      </c>
      <c r="U14" s="51" t="n">
        <f aca="false">'Cost Structure'!U20</f>
        <v>0.7</v>
      </c>
      <c r="V14" s="51" t="n">
        <f aca="false">'Cost Structure'!V20</f>
        <v>0.7</v>
      </c>
      <c r="W14" s="51" t="n">
        <f aca="false">'Cost Structure'!W20</f>
        <v>0.7</v>
      </c>
      <c r="X14" s="51" t="n">
        <f aca="false">'Cost Structure'!X20</f>
        <v>0.7</v>
      </c>
      <c r="Y14" s="52" t="n">
        <f aca="false">'Cost Structure'!Y20</f>
        <v>0.7</v>
      </c>
      <c r="Z14" s="51" t="n">
        <f aca="false">'Cost Structure'!Z20</f>
        <v>0.7</v>
      </c>
      <c r="AA14" s="51" t="n">
        <f aca="false">'Cost Structure'!AA20</f>
        <v>0.7</v>
      </c>
      <c r="AB14" s="51" t="n">
        <f aca="false">'Cost Structure'!AB20</f>
        <v>0.7</v>
      </c>
      <c r="AC14" s="51" t="n">
        <f aca="false">'Cost Structure'!AC20</f>
        <v>0.7</v>
      </c>
      <c r="AD14" s="51" t="n">
        <f aca="false">'Cost Structure'!AD20</f>
        <v>0.7</v>
      </c>
      <c r="AE14" s="51" t="n">
        <f aca="false">'Cost Structure'!AE20</f>
        <v>0.7</v>
      </c>
      <c r="AF14" s="51" t="n">
        <f aca="false">'Cost Structure'!AF20</f>
        <v>0.7</v>
      </c>
      <c r="AG14" s="51" t="n">
        <f aca="false">'Cost Structure'!AG20</f>
        <v>0.7</v>
      </c>
      <c r="AH14" s="51" t="n">
        <f aca="false">'Cost Structure'!AH20</f>
        <v>0.7</v>
      </c>
      <c r="AI14" s="51" t="n">
        <f aca="false">'Cost Structure'!AI20</f>
        <v>0.7</v>
      </c>
      <c r="AJ14" s="51" t="n">
        <f aca="false">'Cost Structure'!AJ20</f>
        <v>0.7</v>
      </c>
      <c r="AK14" s="52" t="n">
        <f aca="false">'Cost Structure'!AK20</f>
        <v>0.7</v>
      </c>
    </row>
    <row r="15" customFormat="false" ht="15.75" hidden="false" customHeight="true" outlineLevel="0" collapsed="false">
      <c r="A15" s="27" t="s">
        <v>192</v>
      </c>
      <c r="B15" s="51" t="n">
        <f aca="false">0</f>
        <v>0</v>
      </c>
      <c r="C15" s="51" t="n">
        <f aca="false">('Revenue Model'!C14-'Revenue Model'!B14)/'Revenue Model'!B14</f>
        <v>0.569492385786802</v>
      </c>
      <c r="D15" s="51" t="n">
        <f aca="false">('Revenue Model'!D14-'Revenue Model'!C14)/'Revenue Model'!C14</f>
        <v>0.401795983052492</v>
      </c>
      <c r="E15" s="51" t="n">
        <f aca="false">('Revenue Model'!E14-'Revenue Model'!D14)/'Revenue Model'!D14</f>
        <v>0.318882000030917</v>
      </c>
      <c r="F15" s="51" t="n">
        <f aca="false">('Revenue Model'!F14-'Revenue Model'!E14)/'Revenue Model'!E14</f>
        <v>0.270308161786542</v>
      </c>
      <c r="G15" s="51" t="n">
        <f aca="false">('Revenue Model'!G14-'Revenue Model'!F14)/'Revenue Model'!F14</f>
        <v>0.238918538419413</v>
      </c>
      <c r="H15" s="51" t="n">
        <f aca="false">('Revenue Model'!H14-'Revenue Model'!G14)/'Revenue Model'!G14</f>
        <v>0.217331857137853</v>
      </c>
      <c r="I15" s="51" t="n">
        <f aca="false">('Revenue Model'!I14-'Revenue Model'!H14)/'Revenue Model'!H14</f>
        <v>0.201846653056966</v>
      </c>
      <c r="J15" s="51" t="n">
        <f aca="false">('Revenue Model'!J14-'Revenue Model'!I14)/'Revenue Model'!I14</f>
        <v>0.190400754785989</v>
      </c>
      <c r="K15" s="51" t="n">
        <f aca="false">('Revenue Model'!K14-'Revenue Model'!J14)/'Revenue Model'!J14</f>
        <v>0.181753400075845</v>
      </c>
      <c r="L15" s="51" t="n">
        <f aca="false">('Revenue Model'!L14-'Revenue Model'!K14)/'Revenue Model'!K14</f>
        <v>0.175112925243671</v>
      </c>
      <c r="M15" s="52" t="n">
        <f aca="false">('Revenue Model'!M14-'Revenue Model'!L14)/'Revenue Model'!L14</f>
        <v>0.169950386017871</v>
      </c>
      <c r="N15" s="51" t="n">
        <f aca="false">('Revenue Model'!N14-'Revenue Model'!M14)/'Revenue Model'!M14</f>
        <v>0.165899081624329</v>
      </c>
      <c r="O15" s="51" t="n">
        <f aca="false">('Revenue Model'!O14-'Revenue Model'!N14)/'Revenue Model'!N14</f>
        <v>0.162697060206874</v>
      </c>
      <c r="P15" s="51" t="n">
        <f aca="false">('Revenue Model'!P14-'Revenue Model'!O14)/'Revenue Model'!O14</f>
        <v>0.160152557652785</v>
      </c>
      <c r="Q15" s="51" t="n">
        <f aca="false">('Revenue Model'!Q14-'Revenue Model'!P14)/'Revenue Model'!P14</f>
        <v>0.158122340243199</v>
      </c>
      <c r="R15" s="51" t="n">
        <f aca="false">('Revenue Model'!R14-'Revenue Model'!Q14)/'Revenue Model'!Q14</f>
        <v>0.156497640132867</v>
      </c>
      <c r="S15" s="51" t="n">
        <f aca="false">('Revenue Model'!S14-'Revenue Model'!R14)/'Revenue Model'!R14</f>
        <v>0.155194733428515</v>
      </c>
      <c r="T15" s="51" t="n">
        <f aca="false">('Revenue Model'!T14-'Revenue Model'!S14)/'Revenue Model'!S14</f>
        <v>0.154148453568693</v>
      </c>
      <c r="U15" s="51" t="n">
        <f aca="false">('Revenue Model'!U14-'Revenue Model'!T14)/'Revenue Model'!T14</f>
        <v>0.153307616315414</v>
      </c>
      <c r="V15" s="51" t="n">
        <f aca="false">('Revenue Model'!V14-'Revenue Model'!U14)/'Revenue Model'!U14</f>
        <v>0.152631723129198</v>
      </c>
      <c r="W15" s="51" t="n">
        <f aca="false">('Revenue Model'!W14-'Revenue Model'!V14)/'Revenue Model'!V14</f>
        <v>0.152088540211687</v>
      </c>
      <c r="X15" s="51" t="n">
        <f aca="false">('Revenue Model'!X14-'Revenue Model'!W14)/'Revenue Model'!W14</f>
        <v>0.151652290610652</v>
      </c>
      <c r="Y15" s="52" t="n">
        <f aca="false">('Revenue Model'!Y14-'Revenue Model'!X14)/'Revenue Model'!X14</f>
        <v>0.151302284187302</v>
      </c>
      <c r="Z15" s="51" t="n">
        <f aca="false">('Revenue Model'!Z14-'Revenue Model'!Y14)/'Revenue Model'!Y14</f>
        <v>0.151021866064799</v>
      </c>
      <c r="AA15" s="51" t="n">
        <f aca="false">('Revenue Model'!AA14-'Revenue Model'!Z14)/'Revenue Model'!Z14</f>
        <v>0.150797600595708</v>
      </c>
      <c r="AB15" s="51" t="n">
        <f aca="false">('Revenue Model'!AB14-'Revenue Model'!AA14)/'Revenue Model'!AA14</f>
        <v>0.150618632122813</v>
      </c>
      <c r="AC15" s="51" t="n">
        <f aca="false">('Revenue Model'!AC14-'Revenue Model'!AB14)/'Revenue Model'!AB14</f>
        <v>0.150476180239561</v>
      </c>
      <c r="AD15" s="51" t="n">
        <f aca="false">('Revenue Model'!AD14-'Revenue Model'!AC14)/'Revenue Model'!AC14</f>
        <v>0.150363138594646</v>
      </c>
      <c r="AE15" s="51" t="n">
        <f aca="false">('Revenue Model'!AE14-'Revenue Model'!AD14)/'Revenue Model'!AD14</f>
        <v>0.150273754241432</v>
      </c>
      <c r="AF15" s="51" t="n">
        <f aca="false">('Revenue Model'!AF14-'Revenue Model'!AE14)/'Revenue Model'!AE14</f>
        <v>0.150203370206747</v>
      </c>
      <c r="AG15" s="51" t="n">
        <f aca="false">('Revenue Model'!AG14-'Revenue Model'!AF14)/'Revenue Model'!AF14</f>
        <v>0.15014821806278</v>
      </c>
      <c r="AH15" s="51" t="n">
        <f aca="false">('Revenue Model'!AH14-'Revenue Model'!AG14)/'Revenue Model'!AG14</f>
        <v>0.150105250306112</v>
      </c>
      <c r="AI15" s="51" t="n">
        <f aca="false">('Revenue Model'!AI14-'Revenue Model'!AH14)/'Revenue Model'!AH14</f>
        <v>0.15007200459899</v>
      </c>
      <c r="AJ15" s="51" t="n">
        <f aca="false">('Revenue Model'!AJ14-'Revenue Model'!AI14)/'Revenue Model'!AI14</f>
        <v>0.150046493627792</v>
      </c>
      <c r="AK15" s="52" t="n">
        <f aca="false">('Revenue Model'!AK14-'Revenue Model'!AJ14)/'Revenue Model'!AJ14</f>
        <v>0.150027115632656</v>
      </c>
    </row>
    <row r="16" customFormat="false" ht="15.75" hidden="false" customHeight="true" outlineLevel="0" collapsed="false">
      <c r="A16" s="27" t="s">
        <v>193</v>
      </c>
      <c r="B16" s="51" t="n">
        <f aca="false">100%</f>
        <v>1</v>
      </c>
      <c r="C16" s="51" t="n">
        <f aca="false">1+Assumptions!$B$18-Assumptions!$B$17</f>
        <v>0.97</v>
      </c>
      <c r="D16" s="51" t="n">
        <f aca="false">1+Assumptions!$B$18-Assumptions!$B$17</f>
        <v>0.97</v>
      </c>
      <c r="E16" s="51" t="n">
        <f aca="false">1+Assumptions!$B$18-Assumptions!$B$17</f>
        <v>0.97</v>
      </c>
      <c r="F16" s="51" t="n">
        <f aca="false">1+Assumptions!$B$18-Assumptions!$B$17</f>
        <v>0.97</v>
      </c>
      <c r="G16" s="51" t="n">
        <f aca="false">1+Assumptions!$B$18-Assumptions!$B$17</f>
        <v>0.97</v>
      </c>
      <c r="H16" s="51" t="n">
        <f aca="false">1+Assumptions!$B$18-Assumptions!$B$17</f>
        <v>0.97</v>
      </c>
      <c r="I16" s="51" t="n">
        <f aca="false">1+Assumptions!$B$18-Assumptions!$B$17</f>
        <v>0.97</v>
      </c>
      <c r="J16" s="51" t="n">
        <f aca="false">1+Assumptions!$B$18-Assumptions!$B$17</f>
        <v>0.97</v>
      </c>
      <c r="K16" s="51" t="n">
        <f aca="false">1+Assumptions!$B$18-Assumptions!$B$17</f>
        <v>0.97</v>
      </c>
      <c r="L16" s="51" t="n">
        <f aca="false">1+Assumptions!$B$18-Assumptions!$B$17</f>
        <v>0.97</v>
      </c>
      <c r="M16" s="52" t="n">
        <f aca="false">1+Assumptions!$B$18-Assumptions!$B$17</f>
        <v>0.97</v>
      </c>
      <c r="N16" s="51" t="n">
        <f aca="false">1+Assumptions!$B$18-Assumptions!$B$17</f>
        <v>0.97</v>
      </c>
      <c r="O16" s="51" t="n">
        <f aca="false">1+Assumptions!$B$18-Assumptions!$B$17</f>
        <v>0.97</v>
      </c>
      <c r="P16" s="51" t="n">
        <f aca="false">1+Assumptions!$B$18-Assumptions!$B$17</f>
        <v>0.97</v>
      </c>
      <c r="Q16" s="51" t="n">
        <f aca="false">1+Assumptions!$B$18-Assumptions!$B$17</f>
        <v>0.97</v>
      </c>
      <c r="R16" s="51" t="n">
        <f aca="false">1+Assumptions!$B$18-Assumptions!$B$17</f>
        <v>0.97</v>
      </c>
      <c r="S16" s="51" t="n">
        <f aca="false">1+Assumptions!$B$18-Assumptions!$B$17</f>
        <v>0.97</v>
      </c>
      <c r="T16" s="51" t="n">
        <f aca="false">1+Assumptions!$B$18-Assumptions!$B$17</f>
        <v>0.97</v>
      </c>
      <c r="U16" s="51" t="n">
        <f aca="false">1+Assumptions!$B$18-Assumptions!$B$17</f>
        <v>0.97</v>
      </c>
      <c r="V16" s="51" t="n">
        <f aca="false">1+Assumptions!$B$18-Assumptions!$B$17</f>
        <v>0.97</v>
      </c>
      <c r="W16" s="51" t="n">
        <f aca="false">1+Assumptions!$B$18-Assumptions!$B$17</f>
        <v>0.97</v>
      </c>
      <c r="X16" s="51" t="n">
        <f aca="false">1+Assumptions!$B$18-Assumptions!$B$17</f>
        <v>0.97</v>
      </c>
      <c r="Y16" s="52" t="n">
        <f aca="false">1+Assumptions!$B$18-Assumptions!$B$17</f>
        <v>0.97</v>
      </c>
      <c r="Z16" s="51" t="n">
        <f aca="false">1+Assumptions!$B$18-Assumptions!$B$17</f>
        <v>0.97</v>
      </c>
      <c r="AA16" s="51" t="n">
        <f aca="false">1+Assumptions!$B$18-Assumptions!$B$17</f>
        <v>0.97</v>
      </c>
      <c r="AB16" s="51" t="n">
        <f aca="false">1+Assumptions!$B$18-Assumptions!$B$17</f>
        <v>0.97</v>
      </c>
      <c r="AC16" s="51" t="n">
        <f aca="false">1+Assumptions!$B$18-Assumptions!$B$17</f>
        <v>0.97</v>
      </c>
      <c r="AD16" s="51" t="n">
        <f aca="false">1+Assumptions!$B$18-Assumptions!$B$17</f>
        <v>0.97</v>
      </c>
      <c r="AE16" s="51" t="n">
        <f aca="false">1+Assumptions!$B$18-Assumptions!$B$17</f>
        <v>0.97</v>
      </c>
      <c r="AF16" s="51" t="n">
        <f aca="false">1+Assumptions!$B$18-Assumptions!$B$17</f>
        <v>0.97</v>
      </c>
      <c r="AG16" s="51" t="n">
        <f aca="false">1+Assumptions!$B$18-Assumptions!$B$17</f>
        <v>0.97</v>
      </c>
      <c r="AH16" s="51" t="n">
        <f aca="false">1+Assumptions!$B$18-Assumptions!$B$17</f>
        <v>0.97</v>
      </c>
      <c r="AI16" s="51" t="n">
        <f aca="false">1+Assumptions!$B$18-Assumptions!$B$17</f>
        <v>0.97</v>
      </c>
      <c r="AJ16" s="51" t="n">
        <f aca="false">1+Assumptions!$B$18-Assumptions!$B$17</f>
        <v>0.97</v>
      </c>
      <c r="AK16" s="52" t="n">
        <f aca="false">1+Assumptions!$B$18-Assumptions!$B$17</f>
        <v>0.97</v>
      </c>
    </row>
    <row r="17" customFormat="false" ht="6" hidden="false" customHeight="true" outlineLevel="0" collapsed="false">
      <c r="M17" s="33"/>
      <c r="Y17" s="33"/>
      <c r="AK17" s="33"/>
    </row>
    <row r="18" customFormat="false" ht="18" hidden="false" customHeight="true" outlineLevel="0" collapsed="false">
      <c r="A18" s="15" t="s">
        <v>194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2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2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26"/>
    </row>
    <row r="19" customFormat="false" ht="15.75" hidden="false" customHeight="true" outlineLevel="0" collapsed="false">
      <c r="A19" s="27" t="s">
        <v>195</v>
      </c>
      <c r="B19" s="53" t="n">
        <v>0</v>
      </c>
      <c r="C19" s="53" t="n">
        <f aca="false">IF('Cost Structure'!B10=0,0,('Revenue Model'!C14-'Revenue Model'!B14)*12/'Cost Structure'!B10)</f>
        <v>6.7314</v>
      </c>
      <c r="D19" s="53" t="n">
        <f aca="false">IF('Cost Structure'!C10=0,0,('Revenue Model'!D14-'Revenue Model'!C14)*12/'Cost Structure'!C10)</f>
        <v>7.453878</v>
      </c>
      <c r="E19" s="53" t="n">
        <f aca="false">IF('Cost Structure'!D10=0,0,('Revenue Model'!E14-'Revenue Model'!D14)*12/'Cost Structure'!D10)</f>
        <v>8.29261506</v>
      </c>
      <c r="F19" s="53" t="n">
        <f aca="false">IF('Cost Structure'!E10=0,0,('Revenue Model'!F14-'Revenue Model'!E14)*12/'Cost Structure'!E10)</f>
        <v>9.2710004262</v>
      </c>
      <c r="G19" s="53" t="n">
        <f aca="false">IF('Cost Structure'!F10=0,0,('Revenue Model'!G14-'Revenue Model'!F14)*12/'Cost Structure'!F10)</f>
        <v>10.409416352274</v>
      </c>
      <c r="H19" s="53" t="n">
        <f aca="false">IF('Cost Structure'!G10=0,0,('Revenue Model'!H14-'Revenue Model'!G14)*12/'Cost Structure'!G10)</f>
        <v>11.731206322358</v>
      </c>
      <c r="I19" s="53" t="n">
        <f aca="false">IF('Cost Structure'!H10=0,0,('Revenue Model'!I14-'Revenue Model'!H14)*12/'Cost Structure'!H10)</f>
        <v>13.2632459110565</v>
      </c>
      <c r="J19" s="53" t="n">
        <f aca="false">IF('Cost Structure'!I10=0,0,('Revenue Model'!J14-'Revenue Model'!I14)*12/'Cost Structure'!I10)</f>
        <v>15.0364735060219</v>
      </c>
      <c r="K19" s="53" t="n">
        <f aca="false">IF('Cost Structure'!J10=0,0,('Revenue Model'!K14-'Revenue Model'!J14)*12/'Cost Structure'!J10)</f>
        <v>17.0864982048163</v>
      </c>
      <c r="L19" s="53" t="n">
        <f aca="false">IF('Cost Structure'!K10=0,0,('Revenue Model'!L14-'Revenue Model'!K14)*12/'Cost Structure'!K10)</f>
        <v>19.4542989247853</v>
      </c>
      <c r="M19" s="54" t="n">
        <f aca="false">IF('Cost Structure'!L10=0,0,('Revenue Model'!M14-'Revenue Model'!L14)*12/'Cost Structure'!L10)</f>
        <v>22.1870284532874</v>
      </c>
      <c r="N19" s="53" t="n">
        <f aca="false">IF('Cost Structure'!M10=0,0,('Revenue Model'!N14-'Revenue Model'!M14)*12/'Cost Structure'!M10)</f>
        <v>25.3389381765755</v>
      </c>
      <c r="O19" s="53" t="n">
        <f aca="false">IF('Cost Structure'!N10=0,0,('Revenue Model'!O14-'Revenue Model'!N14)*12/'Cost Structure'!N10)</f>
        <v>28.9724415855921</v>
      </c>
      <c r="P19" s="53" t="n">
        <f aca="false">IF('Cost Structure'!O10=0,0,('Revenue Model'!P14-'Revenue Model'!O14)*12/'Cost Structure'!O10)</f>
        <v>33.1593373718347</v>
      </c>
      <c r="Q19" s="53" t="n">
        <f aca="false">IF('Cost Structure'!P10=0,0,('Revenue Model'!Q14-'Revenue Model'!P14)*12/'Cost Structure'!P10)</f>
        <v>37.9822160485935</v>
      </c>
      <c r="R19" s="53" t="n">
        <f aca="false">IF('Cost Structure'!Q10=0,0,('Revenue Model'!R14-'Revenue Model'!Q14)*12/'Cost Structure'!Q10)</f>
        <v>43.5360776233169</v>
      </c>
      <c r="S19" s="53" t="n">
        <f aca="false">IF('Cost Structure'!R10=0,0,('Revenue Model'!S14-'Revenue Model'!R14)*12/'Cost Structure'!R10)</f>
        <v>49.9301919758771</v>
      </c>
      <c r="T19" s="53" t="n">
        <f aca="false">IF('Cost Structure'!S10=0,0,('Revenue Model'!T14-'Revenue Model'!S14)*12/'Cost Structure'!S10)</f>
        <v>57.2902383458683</v>
      </c>
      <c r="U19" s="53" t="n">
        <f aca="false">IF('Cost Structure'!T10=0,0,('Revenue Model'!U14-'Revenue Model'!T14)*12/'Cost Structure'!T10)</f>
        <v>65.7607657926775</v>
      </c>
      <c r="V19" s="53" t="n">
        <f aca="false">IF('Cost Structure'!U10=0,0,('Revenue Model'!V14-'Revenue Model'!U14)*12/'Cost Structure'!U10)</f>
        <v>75.5080227717618</v>
      </c>
      <c r="W19" s="53" t="n">
        <f aca="false">IF('Cost Structure'!V10=0,0,('Revenue Model'!W14-'Revenue Model'!V14)*12/'Cost Structure'!V10)</f>
        <v>86.7232111921995</v>
      </c>
      <c r="X19" s="53" t="n">
        <f aca="false">IF('Cost Structure'!W10=0,0,('Revenue Model'!X14-'Revenue Model'!W14)*12/'Cost Structure'!W10)</f>
        <v>99.6262286254692</v>
      </c>
      <c r="Y19" s="54" t="n">
        <f aca="false">IF('Cost Structure'!X10=0,0,('Revenue Model'!Y14-'Revenue Model'!X14)*12/'Cost Structure'!X10)</f>
        <v>114.469971886007</v>
      </c>
      <c r="Z19" s="53" t="n">
        <f aca="false">IF('Cost Structure'!Y10=0,0,('Revenue Model'!Z14-'Revenue Model'!Y14)*12/'Cost Structure'!Y10)</f>
        <v>131.545286187291</v>
      </c>
      <c r="AA19" s="53" t="n">
        <f aca="false">IF('Cost Structure'!Z10=0,0,('Revenue Model'!AA14-'Revenue Model'!Z14)*12/'Cost Structure'!Z10)</f>
        <v>151.186656707847</v>
      </c>
      <c r="AB19" s="53" t="n">
        <f aca="false">IF('Cost Structure'!AA10=0,0,('Revenue Model'!AB14-'Revenue Model'!AA14)*12/'Cost Structure'!AA10)</f>
        <v>173.778753926864</v>
      </c>
      <c r="AC19" s="53" t="n">
        <f aca="false">IF('Cost Structure'!AB10=0,0,('Revenue Model'!AC14-'Revenue Model'!AB14)*12/'Cost Structure'!AB10)</f>
        <v>199.763960793091</v>
      </c>
      <c r="AD19" s="53" t="n">
        <f aca="false">IF('Cost Structure'!AC10=0,0,('Revenue Model'!AD14-'Revenue Model'!AC14)*12/'Cost Structure'!AC10)</f>
        <v>229.651029000392</v>
      </c>
      <c r="AE19" s="53" t="n">
        <f aca="false">IF('Cost Structure'!AD10=0,0,('Revenue Model'!AE14-'Revenue Model'!AD14)*12/'Cost Structure'!AD10)</f>
        <v>264.025033734372</v>
      </c>
      <c r="AF19" s="53" t="n">
        <f aca="false">IF('Cost Structure'!AE10=0,0,('Revenue Model'!AF14-'Revenue Model'!AE14)*12/'Cost Structure'!AE10)</f>
        <v>303.558821659253</v>
      </c>
      <c r="AG19" s="53" t="n">
        <f aca="false">IF('Cost Structure'!AF10=0,0,('Revenue Model'!AG14-'Revenue Model'!AF14)*12/'Cost Structure'!AF10)</f>
        <v>349.026176129629</v>
      </c>
      <c r="AH19" s="53" t="n">
        <f aca="false">IF('Cost Structure'!AG10=0,0,('Revenue Model'!AH14-'Revenue Model'!AG14)*12/'Cost Structure'!AG10)</f>
        <v>401.316957209488</v>
      </c>
      <c r="AI19" s="53" t="n">
        <f aca="false">IF('Cost Structure'!AH10=0,0,('Revenue Model'!AI14-'Revenue Model'!AH14)*12/'Cost Structure'!AH10)</f>
        <v>461.454512718304</v>
      </c>
      <c r="AJ19" s="53" t="n">
        <f aca="false">IF('Cost Structure'!AI10=0,0,('Revenue Model'!AJ14-'Revenue Model'!AI14)*12/'Cost Structure'!AI10)</f>
        <v>530.615700957074</v>
      </c>
      <c r="AK19" s="54" t="n">
        <f aca="false">IF('Cost Structure'!AJ10=0,0,('Revenue Model'!AK14-'Revenue Model'!AJ14)*12/'Cost Structure'!AJ10)</f>
        <v>610.153916865107</v>
      </c>
    </row>
    <row r="20" customFormat="false" ht="6" hidden="false" customHeight="true" outlineLevel="0" collapsed="false">
      <c r="M20" s="33"/>
      <c r="Y20" s="33"/>
      <c r="AK20" s="33"/>
    </row>
    <row r="22" customFormat="false" ht="15" hidden="false" customHeight="false" outlineLevel="0" collapsed="false">
      <c r="A22" s="22" t="s">
        <v>99</v>
      </c>
      <c r="B22" s="22"/>
      <c r="C22" s="22"/>
      <c r="D22" s="22"/>
      <c r="E22" s="22"/>
      <c r="F22" s="22"/>
      <c r="G22" s="22"/>
      <c r="H22" s="22"/>
    </row>
  </sheetData>
  <mergeCells count="2">
    <mergeCell ref="A1:M1"/>
    <mergeCell ref="A22:H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3DD8"/>
    <pageSetUpPr fitToPage="false"/>
  </sheetPr>
  <dimension ref="A1:D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4" min="2" style="0" width="17"/>
  </cols>
  <sheetData>
    <row r="1" customFormat="false" ht="30" hidden="false" customHeight="true" outlineLevel="0" collapsed="false">
      <c r="A1" s="13" t="s">
        <v>196</v>
      </c>
      <c r="B1" s="13"/>
      <c r="C1" s="13"/>
      <c r="D1" s="13"/>
    </row>
    <row r="2" customFormat="false" ht="7.5" hidden="false" customHeight="true" outlineLevel="0" collapsed="false"/>
    <row r="3" customFormat="false" ht="18" hidden="false" customHeight="true" outlineLevel="0" collapsed="false">
      <c r="A3" s="15" t="s">
        <v>197</v>
      </c>
      <c r="B3" s="16"/>
      <c r="C3" s="16"/>
      <c r="D3" s="16"/>
    </row>
    <row r="4" customFormat="false" ht="19.5" hidden="false" customHeight="true" outlineLevel="0" collapsed="false">
      <c r="A4" s="23" t="s">
        <v>101</v>
      </c>
      <c r="B4" s="24" t="s">
        <v>198</v>
      </c>
      <c r="C4" s="24" t="s">
        <v>199</v>
      </c>
      <c r="D4" s="24" t="s">
        <v>200</v>
      </c>
    </row>
    <row r="5" customFormat="false" ht="18" hidden="false" customHeight="true" outlineLevel="0" collapsed="false">
      <c r="A5" s="38" t="s">
        <v>201</v>
      </c>
      <c r="B5" s="39" t="n">
        <f aca="false">'Revenue Model'!M14</f>
        <v>254561.768601332</v>
      </c>
      <c r="C5" s="39" t="n">
        <f aca="false">'Revenue Model'!Y14</f>
        <v>1451724.50426096</v>
      </c>
      <c r="D5" s="39" t="n">
        <f aca="false">'Revenue Model'!AK14</f>
        <v>7795185.84740881</v>
      </c>
    </row>
    <row r="6" customFormat="false" ht="18" hidden="false" customHeight="true" outlineLevel="0" collapsed="false">
      <c r="A6" s="38" t="s">
        <v>202</v>
      </c>
      <c r="B6" s="39" t="n">
        <f aca="false">'Revenue Model'!M19</f>
        <v>3054741.22321599</v>
      </c>
      <c r="C6" s="39" t="n">
        <f aca="false">'Revenue Model'!Y19</f>
        <v>17420694.0511315</v>
      </c>
      <c r="D6" s="39" t="n">
        <f aca="false">'Revenue Model'!AK19</f>
        <v>93542230.1689057</v>
      </c>
    </row>
    <row r="7" customFormat="false" ht="18" hidden="false" customHeight="true" outlineLevel="0" collapsed="false">
      <c r="A7" s="27" t="s">
        <v>142</v>
      </c>
      <c r="B7" s="28" t="n">
        <f aca="false">'Revenue Model'!M7</f>
        <v>2426.36465499409</v>
      </c>
      <c r="C7" s="28" t="n">
        <f aca="false">'Revenue Model'!Y7</f>
        <v>14308.1381808613</v>
      </c>
      <c r="D7" s="28" t="n">
        <f aca="false">'Revenue Model'!AK7</f>
        <v>77268.8948924862</v>
      </c>
    </row>
    <row r="8" customFormat="false" ht="18" hidden="false" customHeight="true" outlineLevel="0" collapsed="false">
      <c r="A8" s="27" t="s">
        <v>150</v>
      </c>
      <c r="B8" s="34" t="n">
        <f aca="false">'Revenue Model'!M17</f>
        <v>254561.768601332</v>
      </c>
      <c r="C8" s="34" t="n">
        <f aca="false">'Revenue Model'!Y17</f>
        <v>1451724.50426096</v>
      </c>
      <c r="D8" s="34" t="n">
        <f aca="false">'Revenue Model'!AK17</f>
        <v>7795185.84740881</v>
      </c>
    </row>
    <row r="9" customFormat="false" ht="18" hidden="false" customHeight="true" outlineLevel="0" collapsed="false">
      <c r="A9" s="27" t="s">
        <v>203</v>
      </c>
      <c r="B9" s="34" t="n">
        <f aca="false">'Cost Structure'!M16</f>
        <v>169368.5305804</v>
      </c>
      <c r="C9" s="34" t="n">
        <f aca="false">'Cost Structure'!Y16</f>
        <v>528517.351278287</v>
      </c>
      <c r="D9" s="34" t="n">
        <f aca="false">'Cost Structure'!AK16</f>
        <v>2431555.75422264</v>
      </c>
    </row>
    <row r="10" customFormat="false" ht="18" hidden="false" customHeight="true" outlineLevel="0" collapsed="false">
      <c r="A10" s="30" t="s">
        <v>204</v>
      </c>
      <c r="B10" s="36" t="n">
        <f aca="false">'Cash Flow'!M13</f>
        <v>85193.2380209327</v>
      </c>
      <c r="C10" s="36" t="n">
        <f aca="false">'Cash Flow'!Y13</f>
        <v>923207.152982669</v>
      </c>
      <c r="D10" s="36" t="n">
        <f aca="false">'Cash Flow'!AK13</f>
        <v>5363630.09318616</v>
      </c>
    </row>
    <row r="11" customFormat="false" ht="18" hidden="false" customHeight="true" outlineLevel="0" collapsed="false">
      <c r="A11" s="38" t="s">
        <v>179</v>
      </c>
      <c r="B11" s="39" t="n">
        <f aca="false">'Cash Flow'!M14</f>
        <v>342178.801820733</v>
      </c>
      <c r="C11" s="39" t="n">
        <f aca="false">'Cash Flow'!Y14</f>
        <v>5497375.60467373</v>
      </c>
      <c r="D11" s="39" t="n">
        <f aca="false">'Cash Flow'!AK14</f>
        <v>38381029.2175855</v>
      </c>
    </row>
    <row r="12" customFormat="false" ht="18" hidden="false" customHeight="true" outlineLevel="0" collapsed="false">
      <c r="A12" s="27" t="s">
        <v>205</v>
      </c>
      <c r="B12" s="43" t="n">
        <f aca="false">'Cash Flow'!M17</f>
        <v>999</v>
      </c>
      <c r="C12" s="43" t="n">
        <f aca="false">'Cash Flow'!Y17</f>
        <v>999</v>
      </c>
      <c r="D12" s="43" t="n">
        <f aca="false">'Cash Flow'!AK17</f>
        <v>999</v>
      </c>
    </row>
    <row r="13" customFormat="false" ht="6" hidden="false" customHeight="true" outlineLevel="0" collapsed="false"/>
    <row r="14" customFormat="false" ht="18" hidden="false" customHeight="true" outlineLevel="0" collapsed="false">
      <c r="A14" s="27" t="s">
        <v>206</v>
      </c>
      <c r="B14" s="34" t="n">
        <f aca="false">'Unit Economics'!M6</f>
        <v>1468.80838916083</v>
      </c>
      <c r="C14" s="34" t="n">
        <f aca="false">'Unit Economics'!Y6</f>
        <v>1420.46035638928</v>
      </c>
      <c r="D14" s="34" t="n">
        <f aca="false">'Unit Economics'!AK6</f>
        <v>1412.37430683554</v>
      </c>
    </row>
    <row r="15" customFormat="false" ht="18" hidden="false" customHeight="true" outlineLevel="0" collapsed="false">
      <c r="A15" s="27" t="s">
        <v>207</v>
      </c>
      <c r="B15" s="34" t="n">
        <f aca="false">'Unit Economics'!M9</f>
        <v>500</v>
      </c>
      <c r="C15" s="34" t="n">
        <f aca="false">'Unit Economics'!Y9</f>
        <v>500</v>
      </c>
      <c r="D15" s="34" t="n">
        <f aca="false">'Unit Economics'!AK9</f>
        <v>500</v>
      </c>
    </row>
    <row r="16" customFormat="false" ht="18" hidden="false" customHeight="true" outlineLevel="0" collapsed="false">
      <c r="A16" s="38" t="s">
        <v>189</v>
      </c>
      <c r="B16" s="49" t="n">
        <f aca="false">'Unit Economics'!M10</f>
        <v>2.93761677832166</v>
      </c>
      <c r="C16" s="49" t="n">
        <f aca="false">'Unit Economics'!Y10</f>
        <v>2.84092071277857</v>
      </c>
      <c r="D16" s="49" t="n">
        <f aca="false">'Unit Economics'!AK10</f>
        <v>2.82474861367108</v>
      </c>
    </row>
    <row r="17" customFormat="false" ht="18" hidden="false" customHeight="true" outlineLevel="0" collapsed="false">
      <c r="A17" s="30" t="s">
        <v>167</v>
      </c>
      <c r="B17" s="55" t="n">
        <f aca="false">'Unit Economics'!M14</f>
        <v>0.7</v>
      </c>
      <c r="C17" s="55" t="n">
        <f aca="false">'Unit Economics'!Y14</f>
        <v>0.7</v>
      </c>
      <c r="D17" s="55" t="n">
        <f aca="false">'Unit Economics'!AK14</f>
        <v>0.7</v>
      </c>
    </row>
    <row r="18" customFormat="false" ht="18" hidden="false" customHeight="true" outlineLevel="0" collapsed="false">
      <c r="A18" s="27" t="s">
        <v>208</v>
      </c>
      <c r="B18" s="47" t="n">
        <f aca="false">'Unit Economics'!M11</f>
        <v>4.7657679869321</v>
      </c>
      <c r="C18" s="47" t="n">
        <f aca="false">'Unit Economics'!Y11</f>
        <v>4.92797984013685</v>
      </c>
      <c r="D18" s="47" t="n">
        <f aca="false">'Unit Economics'!AK11</f>
        <v>4.95619324574353</v>
      </c>
    </row>
    <row r="19" customFormat="false" ht="6" hidden="false" customHeight="true" outlineLevel="0" collapsed="false"/>
    <row r="20" customFormat="false" ht="6" hidden="false" customHeight="true" outlineLevel="0" collapsed="false"/>
    <row r="21" customFormat="false" ht="18" hidden="false" customHeight="true" outlineLevel="0" collapsed="false">
      <c r="A21" s="15" t="s">
        <v>209</v>
      </c>
      <c r="B21" s="16"/>
      <c r="C21" s="16"/>
      <c r="D21" s="16"/>
    </row>
    <row r="22" customFormat="false" ht="18" hidden="false" customHeight="true" outlineLevel="0" collapsed="false">
      <c r="A22" s="38" t="s">
        <v>210</v>
      </c>
      <c r="B22" s="39" t="n">
        <f aca="false">'Revenue Model'!AK19</f>
        <v>93542230.1689057</v>
      </c>
      <c r="C22" s="39"/>
      <c r="D22" s="39"/>
    </row>
    <row r="23" customFormat="false" ht="18" hidden="false" customHeight="true" outlineLevel="0" collapsed="false">
      <c r="A23" s="30" t="s">
        <v>211</v>
      </c>
      <c r="B23" s="56" t="n">
        <f aca="false">IFERROR(MATCH(TRUE(),INDEX('Cash Flow'!B13:AK13&gt;=0,0),0),"Not within 36 months")</f>
        <v>9</v>
      </c>
      <c r="C23" s="31"/>
      <c r="D23" s="31"/>
    </row>
    <row r="24" customFormat="false" ht="18" hidden="false" customHeight="true" outlineLevel="0" collapsed="false">
      <c r="A24" s="30" t="s">
        <v>212</v>
      </c>
      <c r="B24" s="36" t="n">
        <f aca="false">MIN('Cash Flow'!B14:AK14)</f>
        <v>144388.06138696</v>
      </c>
      <c r="C24" s="36"/>
      <c r="D24" s="36"/>
    </row>
    <row r="25" customFormat="false" ht="18" hidden="false" customHeight="true" outlineLevel="0" collapsed="false">
      <c r="A25" s="30" t="s">
        <v>213</v>
      </c>
      <c r="B25" s="55" t="n">
        <f aca="false">'Unit Economics'!AK14</f>
        <v>0.7</v>
      </c>
      <c r="C25" s="55"/>
      <c r="D25" s="55"/>
    </row>
    <row r="26" customFormat="false" ht="6" hidden="false" customHeight="true" outlineLevel="0" collapsed="false"/>
    <row r="27" customFormat="false" ht="6" hidden="false" customHeight="true" outlineLevel="0" collapsed="false"/>
    <row r="28" customFormat="false" ht="9.75" hidden="false" customHeight="true" outlineLevel="0" collapsed="false"/>
    <row r="29" customFormat="false" ht="15" hidden="false" customHeight="true" outlineLevel="0" collapsed="false">
      <c r="A29" s="57" t="s">
        <v>214</v>
      </c>
      <c r="B29" s="57"/>
      <c r="C29" s="57"/>
      <c r="D29" s="57"/>
    </row>
    <row r="30" customFormat="false" ht="15" hidden="false" customHeight="false" outlineLevel="0" collapsed="false">
      <c r="A30" s="57"/>
      <c r="B30" s="57"/>
      <c r="C30" s="57"/>
      <c r="D30" s="57"/>
    </row>
    <row r="31" customFormat="false" ht="15" hidden="false" customHeight="false" outlineLevel="0" collapsed="false">
      <c r="A31" s="57"/>
      <c r="B31" s="57"/>
      <c r="C31" s="57"/>
      <c r="D31" s="57"/>
    </row>
    <row r="33" customFormat="false" ht="15" hidden="false" customHeight="false" outlineLevel="0" collapsed="false">
      <c r="A33" s="22" t="s">
        <v>215</v>
      </c>
      <c r="B33" s="22"/>
      <c r="C33" s="22"/>
      <c r="D33" s="22"/>
    </row>
  </sheetData>
  <mergeCells count="3">
    <mergeCell ref="A1:D1"/>
    <mergeCell ref="A29:D31"/>
    <mergeCell ref="A33:D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2026-07-22T07:25:51Z</dcterms:created>
  <dc:creator>openpyxl</dc:creator>
  <dc:description/>
  <dc:language>en-US</dc:language>
  <cp:lastModifiedBy/>
  <dcterms:modified xsi:type="dcterms:W3CDTF">2026-07-22T07:25:52Z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