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nathanlatka/Desktop/"/>
    </mc:Choice>
  </mc:AlternateContent>
  <xr:revisionPtr revIDLastSave="0" documentId="13_ncr:1_{CBA65969-7C77-3547-81C3-50B748DDE4EC}" xr6:coauthVersionLast="47" xr6:coauthVersionMax="47" xr10:uidLastSave="{00000000-0000-0000-0000-000000000000}"/>
  <bookViews>
    <workbookView xWindow="0" yWindow="760" windowWidth="34560" windowHeight="20580" tabRatio="500" activeTab="0" xr2:uid="{00000000-000D-0000-FFFF-FFFF00000000}"/>
  </bookViews>
  <sheets>
    <sheet name="Founderpath Line of Credit" sheetId="1" r:id="rId1"/>
    <sheet name="Disclaimer" sheetId="3"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21" i="1" l="1"/>
  <c r="F21" i="1" s="1"/>
  <c r="G21" i="1" s="1"/>
  <c r="B22" i="1"/>
  <c r="B23" i="1"/>
  <c r="B24" i="1"/>
  <c r="F24" i="1" s="1"/>
  <c r="B25" i="1"/>
  <c r="Y20" i="1"/>
  <c r="Y21" i="1"/>
  <c r="Y22" i="1"/>
  <c r="Y23" i="1"/>
  <c r="E27" i="1" s="1"/>
  <c r="G27" i="1" s="1"/>
  <c r="Y24" i="1"/>
  <c r="G24" i="1" s="1"/>
  <c r="Y25" i="1"/>
  <c r="H25" i="1" s="1"/>
  <c r="M20" i="1"/>
  <c r="N20" i="1" s="1"/>
  <c r="P20" i="1"/>
  <c r="Q20" i="1"/>
  <c r="S20" i="1"/>
  <c r="S21" i="1"/>
  <c r="T21" i="1" a="1"/>
  <c r="T21" i="1" s="1"/>
  <c r="M22" i="1"/>
  <c r="N22" i="1"/>
  <c r="O22" i="1"/>
  <c r="S22" i="1"/>
  <c r="T22" i="1" a="1"/>
  <c r="T22" i="1" s="1"/>
  <c r="U22" i="1" a="1"/>
  <c r="U22" i="1" s="1"/>
  <c r="M23" i="1"/>
  <c r="S23" i="1"/>
  <c r="T23" i="1" a="1"/>
  <c r="T23" i="1" s="1"/>
  <c r="U23" i="1" a="1"/>
  <c r="U23" i="1" s="1"/>
  <c r="V23" i="1" a="1"/>
  <c r="V23" i="1" s="1"/>
  <c r="M24" i="1"/>
  <c r="Q24" i="1" s="1"/>
  <c r="S24" i="1"/>
  <c r="T24" i="1" a="1"/>
  <c r="T24" i="1" s="1"/>
  <c r="U24" i="1" a="1"/>
  <c r="U24" i="1" s="1"/>
  <c r="V24" i="1" a="1"/>
  <c r="V24" i="1" s="1"/>
  <c r="W24" i="1" a="1"/>
  <c r="W24" i="1" s="1"/>
  <c r="M25" i="1"/>
  <c r="N25" i="1" s="1"/>
  <c r="O25" i="1" s="1"/>
  <c r="S25" i="1"/>
  <c r="T25" i="1" a="1"/>
  <c r="T25" i="1" s="1"/>
  <c r="U25" i="1" a="1"/>
  <c r="U25" i="1" s="1"/>
  <c r="V25" i="1" a="1"/>
  <c r="V25" i="1" s="1"/>
  <c r="W25" i="1" a="1"/>
  <c r="W25" i="1" s="1"/>
  <c r="X25" i="1" a="1"/>
  <c r="X25" i="1" s="1"/>
  <c r="F20" i="1"/>
  <c r="G20" i="1"/>
  <c r="H20" i="1"/>
  <c r="F22" i="1"/>
  <c r="F25" i="1"/>
  <c r="G25" i="1"/>
  <c r="C19" i="1"/>
  <c r="H21" i="1" l="1"/>
  <c r="M21" i="1"/>
  <c r="N21" i="1" s="1"/>
  <c r="O21" i="1" s="1"/>
  <c r="P24" i="1" a="1"/>
  <c r="P24" i="1" s="1"/>
  <c r="H24" i="1"/>
  <c r="N23" i="1"/>
  <c r="N24" i="1"/>
  <c r="O24" i="1" s="1"/>
  <c r="O23" i="1"/>
  <c r="Q25" i="1"/>
  <c r="X24" i="1" s="1" a="1"/>
  <c r="X24" i="1" s="1"/>
  <c r="W23" i="1" a="1"/>
  <c r="W23" i="1" s="1"/>
  <c r="P21" i="1" a="1"/>
  <c r="P21" i="1" s="1"/>
  <c r="P25" i="1" a="1"/>
  <c r="P25" i="1" s="1"/>
  <c r="O20" i="1"/>
  <c r="E26" i="1"/>
  <c r="F23" i="1"/>
  <c r="F26" i="1" s="1"/>
  <c r="G22" i="1"/>
  <c r="Q21" i="1" l="1"/>
  <c r="T20" i="1" s="1" a="1"/>
  <c r="T20" i="1" s="1"/>
  <c r="P22" i="1" s="1" a="1"/>
  <c r="P22" i="1" s="1"/>
  <c r="Q22" i="1" s="1"/>
  <c r="R21" i="1" a="1"/>
  <c r="R21" i="1" s="1"/>
  <c r="R23" i="1" a="1"/>
  <c r="R23" i="1" s="1"/>
  <c r="R20" i="1" a="1"/>
  <c r="R20" i="1" s="1"/>
  <c r="R22" i="1" a="1"/>
  <c r="R22" i="1" s="1"/>
  <c r="R24" i="1" a="1"/>
  <c r="R24" i="1" s="1"/>
  <c r="R25" i="1" a="1"/>
  <c r="R25" i="1" s="1"/>
  <c r="X23" i="1" a="1"/>
  <c r="X23" i="1" s="1"/>
  <c r="G23" i="1"/>
  <c r="G26" i="1" s="1"/>
  <c r="H26" i="1" l="1"/>
  <c r="U21" i="1" a="1"/>
  <c r="U21" i="1" s="1"/>
  <c r="H22" i="1"/>
  <c r="U20" i="1" a="1"/>
  <c r="U20" i="1" s="1"/>
  <c r="P23" i="1" l="1" a="1"/>
  <c r="P23" i="1" s="1"/>
  <c r="Q23" i="1" s="1"/>
  <c r="V22" i="1" s="1" a="1"/>
  <c r="V22" i="1" s="1"/>
  <c r="W22" i="1" s="1" a="1"/>
  <c r="W22" i="1" s="1"/>
  <c r="X22" i="1" s="1" a="1"/>
  <c r="X22" i="1" s="1"/>
  <c r="H23" i="1" l="1"/>
  <c r="V20" i="1" a="1"/>
  <c r="V20" i="1" s="1"/>
  <c r="V21" i="1" a="1"/>
  <c r="V21" i="1" s="1"/>
  <c r="W21" i="1" s="1" a="1"/>
  <c r="W21" i="1" s="1"/>
  <c r="X21" i="1" s="1" a="1"/>
  <c r="X21" i="1" s="1"/>
  <c r="W20" i="1" l="1" a="1"/>
  <c r="W20" i="1" s="1"/>
  <c r="X20" i="1" l="1" a="1"/>
  <c r="X20" i="1" s="1"/>
  <c r="G8" i="1" l="1"/>
  <c r="D23" i="1" s="1"/>
  <c r="B107"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C89" i="1"/>
  <c r="B90" i="1"/>
  <c r="B91" i="1"/>
  <c r="B92" i="1"/>
  <c r="B93" i="1"/>
  <c r="B94" i="1"/>
  <c r="B95" i="1"/>
  <c r="B96" i="1"/>
  <c r="B97" i="1"/>
  <c r="B98" i="1"/>
  <c r="B99" i="1"/>
  <c r="B100" i="1"/>
  <c r="B101" i="1"/>
  <c r="B102" i="1"/>
  <c r="B103" i="1"/>
  <c r="B104" i="1"/>
  <c r="B105" i="1"/>
  <c r="C105" i="1" s="1"/>
  <c r="B32" i="1"/>
  <c r="B109" i="1"/>
  <c r="D25" i="1"/>
  <c r="J81" i="1" l="1" a="1"/>
  <c r="J81" i="1" s="1"/>
  <c r="G79" i="1"/>
  <c r="H79" i="1" a="1"/>
  <c r="H79" i="1" s="1"/>
  <c r="J79" i="1" a="1"/>
  <c r="J79" i="1" s="1"/>
  <c r="D79" i="1"/>
  <c r="E79" i="1" s="1"/>
  <c r="F79" i="1" a="1"/>
  <c r="F79" i="1" s="1"/>
  <c r="I79" i="1" s="1"/>
  <c r="H59" i="1" a="1"/>
  <c r="H59" i="1" s="1"/>
  <c r="D59" i="1"/>
  <c r="E59" i="1" s="1"/>
  <c r="J59" i="1" a="1"/>
  <c r="J59" i="1" s="1"/>
  <c r="F59" i="1" a="1"/>
  <c r="F59" i="1" s="1"/>
  <c r="G59" i="1"/>
  <c r="D87" i="1"/>
  <c r="G87" i="1"/>
  <c r="E87" i="1"/>
  <c r="F87" i="1" a="1"/>
  <c r="F87" i="1" s="1"/>
  <c r="H87" i="1" a="1"/>
  <c r="H87" i="1" s="1"/>
  <c r="I87" i="1"/>
  <c r="J87" i="1" a="1"/>
  <c r="J87" i="1" s="1"/>
  <c r="I83" i="1"/>
  <c r="J83" i="1" a="1"/>
  <c r="J83" i="1" s="1"/>
  <c r="E83" i="1"/>
  <c r="D83" i="1"/>
  <c r="F83" i="1" a="1"/>
  <c r="F83" i="1" s="1"/>
  <c r="G83" i="1"/>
  <c r="H83" i="1" a="1"/>
  <c r="H83" i="1" s="1"/>
  <c r="F82" i="1" a="1"/>
  <c r="F82" i="1" s="1"/>
  <c r="G82" i="1"/>
  <c r="H82" i="1" a="1"/>
  <c r="H82" i="1" s="1"/>
  <c r="I82" i="1"/>
  <c r="J82" i="1" a="1"/>
  <c r="J82" i="1" s="1"/>
  <c r="D82" i="1"/>
  <c r="E82" i="1"/>
  <c r="H100" i="1" a="1"/>
  <c r="H100" i="1" s="1"/>
  <c r="D100" i="1"/>
  <c r="I100" i="1"/>
  <c r="J100" i="1" a="1"/>
  <c r="J100" i="1" s="1"/>
  <c r="E100" i="1"/>
  <c r="F100" i="1" a="1"/>
  <c r="F100" i="1" s="1"/>
  <c r="G100" i="1"/>
  <c r="J71" i="1" a="1"/>
  <c r="J71" i="1" s="1"/>
  <c r="G51" i="1"/>
  <c r="H51" i="1" a="1"/>
  <c r="H51" i="1" s="1"/>
  <c r="D51" i="1"/>
  <c r="E51" i="1" s="1"/>
  <c r="F51" i="1" a="1"/>
  <c r="F51" i="1" s="1"/>
  <c r="J51" i="1" a="1"/>
  <c r="J51" i="1" s="1"/>
  <c r="F99" i="1" a="1"/>
  <c r="F99" i="1" s="1"/>
  <c r="G99" i="1"/>
  <c r="I99" i="1"/>
  <c r="J99" i="1" a="1"/>
  <c r="J99" i="1" s="1"/>
  <c r="H99" i="1" a="1"/>
  <c r="H99" i="1" s="1"/>
  <c r="D99" i="1"/>
  <c r="E99" i="1"/>
  <c r="J70" i="1" a="1"/>
  <c r="J70" i="1" s="1"/>
  <c r="F70" i="1" a="1"/>
  <c r="F70" i="1" s="1"/>
  <c r="I70" i="1" s="1"/>
  <c r="D70" i="1"/>
  <c r="E70" i="1" s="1"/>
  <c r="G70" i="1"/>
  <c r="H70" i="1" a="1"/>
  <c r="H70" i="1" s="1"/>
  <c r="G60" i="1"/>
  <c r="D60" i="1"/>
  <c r="E60" i="1" s="1"/>
  <c r="F60" i="1" a="1"/>
  <c r="F60" i="1" s="1"/>
  <c r="H60" i="1" a="1"/>
  <c r="H60" i="1" s="1"/>
  <c r="J60" i="1" a="1"/>
  <c r="J60" i="1" s="1"/>
  <c r="D40" i="1"/>
  <c r="E40" i="1" s="1"/>
  <c r="G40" i="1"/>
  <c r="H40" i="1" a="1"/>
  <c r="H40" i="1" s="1"/>
  <c r="F40" i="1" a="1"/>
  <c r="F40" i="1" s="1"/>
  <c r="J40" i="1" a="1"/>
  <c r="J40" i="1" s="1"/>
  <c r="G89" i="1"/>
  <c r="H89" i="1" a="1"/>
  <c r="H89" i="1" s="1"/>
  <c r="I89" i="1"/>
  <c r="J89" i="1" a="1"/>
  <c r="J89" i="1" s="1"/>
  <c r="D89" i="1"/>
  <c r="E89" i="1"/>
  <c r="F89" i="1" a="1"/>
  <c r="F89" i="1" s="1"/>
  <c r="D49" i="1"/>
  <c r="E49" i="1" s="1"/>
  <c r="G49" i="1"/>
  <c r="H49" i="1" a="1"/>
  <c r="H49" i="1" s="1"/>
  <c r="J49" i="1" a="1"/>
  <c r="J49" i="1" s="1"/>
  <c r="F49" i="1" a="1"/>
  <c r="F49" i="1" s="1"/>
  <c r="J97" i="1" a="1"/>
  <c r="J97" i="1" s="1"/>
  <c r="F97" i="1" a="1"/>
  <c r="F97" i="1" s="1"/>
  <c r="D97" i="1"/>
  <c r="E97" i="1"/>
  <c r="G97" i="1"/>
  <c r="H97" i="1" a="1"/>
  <c r="H97" i="1" s="1"/>
  <c r="I97" i="1"/>
  <c r="D78" i="1"/>
  <c r="E78" i="1"/>
  <c r="F78" i="1" a="1"/>
  <c r="F78" i="1" s="1"/>
  <c r="I78" i="1" s="1"/>
  <c r="G78" i="1"/>
  <c r="H78" i="1" a="1"/>
  <c r="H78" i="1" s="1"/>
  <c r="J78" i="1" a="1"/>
  <c r="J78" i="1" s="1"/>
  <c r="F58" i="1" a="1"/>
  <c r="F58" i="1" s="1"/>
  <c r="G58" i="1"/>
  <c r="H58" i="1" a="1"/>
  <c r="H58" i="1" s="1"/>
  <c r="J58" i="1" a="1"/>
  <c r="J58" i="1" s="1"/>
  <c r="D58" i="1"/>
  <c r="E58" i="1" s="1"/>
  <c r="D38" i="1"/>
  <c r="E38" i="1" s="1"/>
  <c r="G38" i="1"/>
  <c r="H38" i="1" a="1"/>
  <c r="H38" i="1" s="1"/>
  <c r="J38" i="1" a="1"/>
  <c r="J38" i="1" s="1"/>
  <c r="F38" i="1" a="1"/>
  <c r="F38" i="1" s="1"/>
  <c r="G96" i="1"/>
  <c r="H96" i="1" a="1"/>
  <c r="H96" i="1" s="1"/>
  <c r="J96" i="1" a="1"/>
  <c r="J96" i="1" s="1"/>
  <c r="I96" i="1"/>
  <c r="D96" i="1"/>
  <c r="E96" i="1"/>
  <c r="F96" i="1" a="1"/>
  <c r="F96" i="1" s="1"/>
  <c r="G67" i="1"/>
  <c r="D67" i="1"/>
  <c r="E67" i="1" s="1"/>
  <c r="F67" i="1" a="1"/>
  <c r="F67" i="1" s="1"/>
  <c r="H67" i="1" a="1"/>
  <c r="H67" i="1" s="1"/>
  <c r="J67" i="1" a="1"/>
  <c r="J67" i="1" s="1"/>
  <c r="D47" i="1"/>
  <c r="E47" i="1" s="1"/>
  <c r="G47" i="1"/>
  <c r="H47" i="1" a="1"/>
  <c r="H47" i="1" s="1"/>
  <c r="F47" i="1" a="1"/>
  <c r="F47" i="1" s="1"/>
  <c r="J47" i="1" a="1"/>
  <c r="J47" i="1" s="1"/>
  <c r="D37" i="1"/>
  <c r="E37" i="1" s="1"/>
  <c r="H37" i="1" a="1"/>
  <c r="H37" i="1" s="1"/>
  <c r="G37" i="1"/>
  <c r="F37" i="1" a="1"/>
  <c r="F37" i="1" s="1"/>
  <c r="J37" i="1" a="1"/>
  <c r="J37" i="1" s="1"/>
  <c r="D95" i="1"/>
  <c r="J95" i="1" a="1"/>
  <c r="J95" i="1" s="1"/>
  <c r="E95" i="1"/>
  <c r="F95" i="1" a="1"/>
  <c r="F95" i="1" s="1"/>
  <c r="G95" i="1"/>
  <c r="H95" i="1" a="1"/>
  <c r="H95" i="1" s="1"/>
  <c r="I95" i="1"/>
  <c r="H76" i="1" a="1"/>
  <c r="H76" i="1" s="1"/>
  <c r="D76" i="1"/>
  <c r="J76" i="1" a="1"/>
  <c r="J76" i="1" s="1"/>
  <c r="E76" i="1"/>
  <c r="F76" i="1" a="1"/>
  <c r="F76" i="1" s="1"/>
  <c r="I76" i="1" s="1"/>
  <c r="G76" i="1"/>
  <c r="G56" i="1"/>
  <c r="D56" i="1"/>
  <c r="E56" i="1" s="1"/>
  <c r="H56" i="1" a="1"/>
  <c r="H56" i="1" s="1"/>
  <c r="F56" i="1" a="1"/>
  <c r="F56" i="1" s="1"/>
  <c r="J56" i="1" a="1"/>
  <c r="J56" i="1" s="1"/>
  <c r="J104" i="1" a="1"/>
  <c r="J104" i="1" s="1"/>
  <c r="F104" i="1" a="1"/>
  <c r="F104" i="1" s="1"/>
  <c r="D104" i="1"/>
  <c r="E104" i="1"/>
  <c r="G104" i="1"/>
  <c r="H104" i="1" a="1"/>
  <c r="H104" i="1" s="1"/>
  <c r="I104" i="1"/>
  <c r="D94" i="1"/>
  <c r="E94" i="1"/>
  <c r="G94" i="1"/>
  <c r="F94" i="1" a="1"/>
  <c r="F94" i="1" s="1"/>
  <c r="H94" i="1" a="1"/>
  <c r="H94" i="1" s="1"/>
  <c r="I94" i="1"/>
  <c r="J94" i="1" a="1"/>
  <c r="J94" i="1" s="1"/>
  <c r="E85" i="1"/>
  <c r="F85" i="1" a="1"/>
  <c r="F85" i="1" s="1"/>
  <c r="H85" i="1" a="1"/>
  <c r="H85" i="1" s="1"/>
  <c r="G85" i="1"/>
  <c r="I85" i="1"/>
  <c r="J85" i="1" a="1"/>
  <c r="J85" i="1" s="1"/>
  <c r="D85" i="1"/>
  <c r="F75" i="1" a="1"/>
  <c r="F75" i="1" s="1"/>
  <c r="H75" i="1" a="1"/>
  <c r="H75" i="1" s="1"/>
  <c r="G75" i="1"/>
  <c r="I75" i="1"/>
  <c r="J75" i="1" a="1"/>
  <c r="J75" i="1" s="1"/>
  <c r="D75" i="1"/>
  <c r="E75" i="1" s="1"/>
  <c r="F65" i="1" a="1"/>
  <c r="F65" i="1" s="1"/>
  <c r="I65" i="1" s="1"/>
  <c r="G65" i="1"/>
  <c r="H65" i="1" a="1"/>
  <c r="H65" i="1" s="1"/>
  <c r="J65" i="1" a="1"/>
  <c r="J65" i="1" s="1"/>
  <c r="D65" i="1"/>
  <c r="E65" i="1" s="1"/>
  <c r="D55" i="1"/>
  <c r="E55" i="1" s="1"/>
  <c r="G55" i="1"/>
  <c r="H55" i="1" a="1"/>
  <c r="H55" i="1" s="1"/>
  <c r="J55" i="1" a="1"/>
  <c r="J55" i="1" s="1"/>
  <c r="F55" i="1" a="1"/>
  <c r="F55" i="1" s="1"/>
  <c r="D45" i="1"/>
  <c r="E45" i="1" s="1"/>
  <c r="G45" i="1"/>
  <c r="H45" i="1" a="1"/>
  <c r="H45" i="1" s="1"/>
  <c r="F45" i="1" a="1"/>
  <c r="F45" i="1" s="1"/>
  <c r="J45" i="1" a="1"/>
  <c r="J45" i="1" s="1"/>
  <c r="D35" i="1"/>
  <c r="E35" i="1" s="1"/>
  <c r="G35" i="1"/>
  <c r="H35" i="1" a="1"/>
  <c r="H35" i="1" s="1"/>
  <c r="F35" i="1" a="1"/>
  <c r="F35" i="1" s="1"/>
  <c r="J35" i="1" a="1"/>
  <c r="J35" i="1" s="1"/>
  <c r="G101" i="1"/>
  <c r="D101" i="1"/>
  <c r="E101" i="1"/>
  <c r="F101" i="1" a="1"/>
  <c r="F101" i="1" s="1"/>
  <c r="H101" i="1" a="1"/>
  <c r="H101" i="1" s="1"/>
  <c r="I101" i="1"/>
  <c r="J101" i="1" a="1"/>
  <c r="J101" i="1" s="1"/>
  <c r="J90" i="1" a="1"/>
  <c r="J90" i="1" s="1"/>
  <c r="F90" i="1" a="1"/>
  <c r="F90" i="1" s="1"/>
  <c r="D90" i="1"/>
  <c r="E90" i="1"/>
  <c r="G90" i="1"/>
  <c r="H90" i="1" a="1"/>
  <c r="H90" i="1" s="1"/>
  <c r="I90" i="1"/>
  <c r="D61" i="1"/>
  <c r="E61" i="1" s="1"/>
  <c r="J61" i="1" a="1"/>
  <c r="J61" i="1" s="1"/>
  <c r="F61" i="1" a="1"/>
  <c r="F61" i="1" s="1"/>
  <c r="G61" i="1"/>
  <c r="H61" i="1" a="1"/>
  <c r="H61" i="1" s="1"/>
  <c r="D41" i="1"/>
  <c r="E41" i="1" s="1"/>
  <c r="H41" i="1" a="1"/>
  <c r="H41" i="1" s="1"/>
  <c r="G41" i="1"/>
  <c r="F41" i="1" a="1"/>
  <c r="F41" i="1" s="1"/>
  <c r="J41" i="1" a="1"/>
  <c r="J41" i="1" s="1"/>
  <c r="J80" i="1" a="1"/>
  <c r="J80" i="1" s="1"/>
  <c r="F80" i="1" a="1"/>
  <c r="F80" i="1" s="1"/>
  <c r="I80" i="1" s="1"/>
  <c r="D80" i="1"/>
  <c r="E80" i="1"/>
  <c r="G80" i="1"/>
  <c r="H80" i="1" a="1"/>
  <c r="H80" i="1" s="1"/>
  <c r="D50" i="1"/>
  <c r="E50" i="1" s="1"/>
  <c r="G50" i="1"/>
  <c r="H50" i="1" a="1"/>
  <c r="H50" i="1" s="1"/>
  <c r="J50" i="1" a="1"/>
  <c r="J50" i="1" s="1"/>
  <c r="F50" i="1" a="1"/>
  <c r="F50" i="1" s="1"/>
  <c r="D98" i="1"/>
  <c r="E98" i="1"/>
  <c r="F98" i="1" a="1"/>
  <c r="F98" i="1" s="1"/>
  <c r="G98" i="1"/>
  <c r="I98" i="1"/>
  <c r="H98" i="1" a="1"/>
  <c r="H98" i="1" s="1"/>
  <c r="J98" i="1" a="1"/>
  <c r="J98" i="1" s="1"/>
  <c r="J69" i="1" a="1"/>
  <c r="J69" i="1" s="1"/>
  <c r="H39" i="1" a="1"/>
  <c r="H39" i="1" s="1"/>
  <c r="D39" i="1"/>
  <c r="E39" i="1" s="1"/>
  <c r="G39" i="1"/>
  <c r="J39" i="1" a="1"/>
  <c r="J39" i="1" s="1"/>
  <c r="F39" i="1" a="1"/>
  <c r="F39" i="1" s="1"/>
  <c r="G32" i="1"/>
  <c r="H32" i="1" a="1"/>
  <c r="H32" i="1" s="1"/>
  <c r="D32" i="1"/>
  <c r="D57" i="1" s="1"/>
  <c r="F32" i="1" a="1"/>
  <c r="F32" i="1" s="1"/>
  <c r="J32" i="1" a="1"/>
  <c r="J32" i="1" s="1"/>
  <c r="D88" i="1"/>
  <c r="E88" i="1"/>
  <c r="G88" i="1"/>
  <c r="J88" i="1" a="1"/>
  <c r="J88" i="1" s="1"/>
  <c r="F88" i="1" a="1"/>
  <c r="F88" i="1" s="1"/>
  <c r="H88" i="1" a="1"/>
  <c r="H88" i="1" s="1"/>
  <c r="I88" i="1"/>
  <c r="J68" i="1" a="1"/>
  <c r="J68" i="1" s="1"/>
  <c r="D48" i="1"/>
  <c r="E48" i="1" s="1"/>
  <c r="G48" i="1"/>
  <c r="H48" i="1" a="1"/>
  <c r="H48" i="1" s="1"/>
  <c r="F48" i="1" a="1"/>
  <c r="F48" i="1" s="1"/>
  <c r="J48" i="1" a="1"/>
  <c r="J48" i="1" s="1"/>
  <c r="D77" i="1"/>
  <c r="E77" i="1" s="1"/>
  <c r="F77" i="1" a="1"/>
  <c r="F77" i="1" s="1"/>
  <c r="G77" i="1"/>
  <c r="H77" i="1" a="1"/>
  <c r="H77" i="1" s="1"/>
  <c r="I77" i="1"/>
  <c r="J77" i="1" a="1"/>
  <c r="J77" i="1" s="1"/>
  <c r="J57" i="1" a="1"/>
  <c r="J57" i="1" s="1"/>
  <c r="I105" i="1"/>
  <c r="D105" i="1"/>
  <c r="F105" i="1" a="1"/>
  <c r="F105" i="1" s="1"/>
  <c r="G105" i="1"/>
  <c r="H105" i="1" a="1"/>
  <c r="H105" i="1" s="1"/>
  <c r="E105" i="1"/>
  <c r="J105" i="1" a="1"/>
  <c r="J105" i="1" s="1"/>
  <c r="H86" i="1" a="1"/>
  <c r="H86" i="1" s="1"/>
  <c r="D86" i="1"/>
  <c r="I86" i="1"/>
  <c r="J86" i="1" a="1"/>
  <c r="J86" i="1" s="1"/>
  <c r="E86" i="1"/>
  <c r="F86" i="1" a="1"/>
  <c r="F86" i="1" s="1"/>
  <c r="G86" i="1"/>
  <c r="H66" i="1" a="1"/>
  <c r="H66" i="1" s="1"/>
  <c r="D66" i="1"/>
  <c r="E66" i="1" s="1"/>
  <c r="J66" i="1" a="1"/>
  <c r="J66" i="1" s="1"/>
  <c r="F66" i="1" a="1"/>
  <c r="F66" i="1" s="1"/>
  <c r="G66" i="1"/>
  <c r="D46" i="1"/>
  <c r="E46" i="1" s="1"/>
  <c r="G46" i="1"/>
  <c r="H46" i="1" a="1"/>
  <c r="H46" i="1" s="1"/>
  <c r="J46" i="1" a="1"/>
  <c r="J46" i="1" s="1"/>
  <c r="F46" i="1" a="1"/>
  <c r="F46" i="1" s="1"/>
  <c r="G36" i="1"/>
  <c r="D36" i="1"/>
  <c r="E36" i="1" s="1"/>
  <c r="F36" i="1" a="1"/>
  <c r="F36" i="1" s="1"/>
  <c r="H36" i="1" a="1"/>
  <c r="H36" i="1" s="1"/>
  <c r="J36" i="1" a="1"/>
  <c r="J36" i="1" s="1"/>
  <c r="G103" i="1"/>
  <c r="H103" i="1" a="1"/>
  <c r="H103" i="1" s="1"/>
  <c r="I103" i="1"/>
  <c r="J103" i="1" a="1"/>
  <c r="J103" i="1" s="1"/>
  <c r="D103" i="1"/>
  <c r="E103" i="1"/>
  <c r="F103" i="1" a="1"/>
  <c r="F103" i="1" s="1"/>
  <c r="H93" i="1" a="1"/>
  <c r="H93" i="1" s="1"/>
  <c r="I93" i="1"/>
  <c r="D93" i="1"/>
  <c r="J93" i="1" a="1"/>
  <c r="J93" i="1" s="1"/>
  <c r="E93" i="1"/>
  <c r="F93" i="1" a="1"/>
  <c r="F93" i="1" s="1"/>
  <c r="G93" i="1"/>
  <c r="E84" i="1"/>
  <c r="H84" i="1" a="1"/>
  <c r="H84" i="1" s="1"/>
  <c r="D84" i="1"/>
  <c r="F84" i="1" a="1"/>
  <c r="F84" i="1" s="1"/>
  <c r="G84" i="1"/>
  <c r="I84" i="1"/>
  <c r="J84" i="1" a="1"/>
  <c r="J84" i="1" s="1"/>
  <c r="D74" i="1"/>
  <c r="H74" i="1" a="1"/>
  <c r="H74" i="1" s="1"/>
  <c r="E74" i="1"/>
  <c r="F74" i="1" a="1"/>
  <c r="F74" i="1" s="1"/>
  <c r="G74" i="1"/>
  <c r="I74" i="1"/>
  <c r="J74" i="1" a="1"/>
  <c r="J74" i="1" s="1"/>
  <c r="D64" i="1"/>
  <c r="E64" i="1" s="1"/>
  <c r="F64" i="1" a="1"/>
  <c r="F64" i="1" s="1"/>
  <c r="G64" i="1"/>
  <c r="H64" i="1" a="1"/>
  <c r="H64" i="1" s="1"/>
  <c r="J64" i="1" a="1"/>
  <c r="J64" i="1" s="1"/>
  <c r="H54" i="1" a="1"/>
  <c r="H54" i="1" s="1"/>
  <c r="D54" i="1"/>
  <c r="E54" i="1" s="1"/>
  <c r="G54" i="1"/>
  <c r="F54" i="1" a="1"/>
  <c r="F54" i="1" s="1"/>
  <c r="J54" i="1" a="1"/>
  <c r="J54" i="1" s="1"/>
  <c r="H44" i="1" a="1"/>
  <c r="H44" i="1" s="1"/>
  <c r="D44" i="1"/>
  <c r="E44" i="1" s="1"/>
  <c r="G44" i="1"/>
  <c r="F44" i="1" a="1"/>
  <c r="F44" i="1" s="1"/>
  <c r="J44" i="1" a="1"/>
  <c r="J44" i="1" s="1"/>
  <c r="D34" i="1"/>
  <c r="E34" i="1" s="1"/>
  <c r="G34" i="1"/>
  <c r="J34" i="1" a="1"/>
  <c r="J34" i="1" s="1"/>
  <c r="F34" i="1" a="1"/>
  <c r="F34" i="1" s="1"/>
  <c r="H34" i="1" a="1"/>
  <c r="H34" i="1" s="1"/>
  <c r="F92" i="1" a="1"/>
  <c r="F92" i="1" s="1"/>
  <c r="G92" i="1"/>
  <c r="H92" i="1" a="1"/>
  <c r="H92" i="1" s="1"/>
  <c r="I92" i="1"/>
  <c r="J92" i="1" a="1"/>
  <c r="J92" i="1" s="1"/>
  <c r="D92" i="1"/>
  <c r="E92" i="1"/>
  <c r="I73" i="1"/>
  <c r="E73" i="1"/>
  <c r="J73" i="1" a="1"/>
  <c r="J73" i="1" s="1"/>
  <c r="D73" i="1"/>
  <c r="F73" i="1" a="1"/>
  <c r="F73" i="1" s="1"/>
  <c r="G73" i="1"/>
  <c r="H73" i="1" a="1"/>
  <c r="H73" i="1" s="1"/>
  <c r="J63" i="1" a="1"/>
  <c r="J63" i="1" s="1"/>
  <c r="G53" i="1"/>
  <c r="D53" i="1"/>
  <c r="E53" i="1" s="1"/>
  <c r="H53" i="1" a="1"/>
  <c r="H53" i="1" s="1"/>
  <c r="J53" i="1" a="1"/>
  <c r="J53" i="1" s="1"/>
  <c r="F53" i="1" a="1"/>
  <c r="F53" i="1" s="1"/>
  <c r="G43" i="1"/>
  <c r="D43" i="1"/>
  <c r="E43" i="1" s="1"/>
  <c r="H43" i="1" a="1"/>
  <c r="H43" i="1" s="1"/>
  <c r="F43" i="1" a="1"/>
  <c r="F43" i="1" s="1"/>
  <c r="J43" i="1" a="1"/>
  <c r="J43" i="1" s="1"/>
  <c r="D33" i="1"/>
  <c r="E33" i="1" s="1"/>
  <c r="G33" i="1"/>
  <c r="H33" i="1" a="1"/>
  <c r="H33" i="1" s="1"/>
  <c r="F33" i="1" a="1"/>
  <c r="F33" i="1" s="1"/>
  <c r="J33" i="1" a="1"/>
  <c r="J33" i="1" s="1"/>
  <c r="D102" i="1"/>
  <c r="E102" i="1"/>
  <c r="G102" i="1"/>
  <c r="H102" i="1" a="1"/>
  <c r="H102" i="1" s="1"/>
  <c r="I102" i="1"/>
  <c r="F102" i="1" a="1"/>
  <c r="F102" i="1" s="1"/>
  <c r="J102" i="1" a="1"/>
  <c r="J102" i="1" s="1"/>
  <c r="D91" i="1"/>
  <c r="F91" i="1" a="1"/>
  <c r="F91" i="1" s="1"/>
  <c r="E91" i="1"/>
  <c r="I91" i="1"/>
  <c r="G91" i="1"/>
  <c r="H91" i="1" a="1"/>
  <c r="H91" i="1" s="1"/>
  <c r="J91" i="1" a="1"/>
  <c r="J91" i="1" s="1"/>
  <c r="F72" i="1" a="1"/>
  <c r="F72" i="1" s="1"/>
  <c r="G72" i="1"/>
  <c r="H72" i="1" a="1"/>
  <c r="H72" i="1" s="1"/>
  <c r="I72" i="1"/>
  <c r="J72" i="1" a="1"/>
  <c r="J72" i="1" s="1"/>
  <c r="D72" i="1"/>
  <c r="E72" i="1" s="1"/>
  <c r="G62" i="1"/>
  <c r="H62" i="1" a="1"/>
  <c r="H62" i="1" s="1"/>
  <c r="J62" i="1" a="1"/>
  <c r="J62" i="1" s="1"/>
  <c r="D62" i="1"/>
  <c r="E62" i="1" s="1"/>
  <c r="F62" i="1" a="1"/>
  <c r="F62" i="1" s="1"/>
  <c r="D52" i="1"/>
  <c r="E52" i="1" s="1"/>
  <c r="G52" i="1"/>
  <c r="H52" i="1" a="1"/>
  <c r="H52" i="1" s="1"/>
  <c r="F52" i="1" a="1"/>
  <c r="F52" i="1" s="1"/>
  <c r="J52" i="1" a="1"/>
  <c r="J52" i="1" s="1"/>
  <c r="D42" i="1"/>
  <c r="E42" i="1" s="1"/>
  <c r="G42" i="1"/>
  <c r="H42" i="1" a="1"/>
  <c r="H42" i="1" s="1"/>
  <c r="J42" i="1" a="1"/>
  <c r="J42" i="1" s="1"/>
  <c r="F42" i="1" a="1"/>
  <c r="F42" i="1" s="1"/>
  <c r="F57" i="1" s="1" a="1"/>
  <c r="F57" i="1" s="1"/>
  <c r="D24" i="1"/>
  <c r="C103" i="1"/>
  <c r="D21" i="1"/>
  <c r="D22" i="1"/>
  <c r="C98" i="1"/>
  <c r="C93" i="1"/>
  <c r="C53" i="1"/>
  <c r="C32" i="1"/>
  <c r="C41" i="1"/>
  <c r="C78" i="1"/>
  <c r="C38" i="1"/>
  <c r="C47" i="1"/>
  <c r="C40" i="1"/>
  <c r="C57" i="1"/>
  <c r="C80" i="1"/>
  <c r="C60" i="1"/>
  <c r="C51" i="1"/>
  <c r="C39" i="1"/>
  <c r="C50" i="1"/>
  <c r="C83" i="1"/>
  <c r="C62" i="1"/>
  <c r="C56" i="1"/>
  <c r="C49" i="1"/>
  <c r="C46" i="1"/>
  <c r="C85" i="1"/>
  <c r="C45" i="1"/>
  <c r="C84" i="1"/>
  <c r="C69" i="1"/>
  <c r="C37" i="1"/>
  <c r="C52" i="1"/>
  <c r="C73" i="1"/>
  <c r="D20" i="1"/>
  <c r="C68" i="1"/>
  <c r="C61" i="1"/>
  <c r="C48" i="1"/>
  <c r="C36" i="1"/>
  <c r="C70" i="1"/>
  <c r="C42" i="1"/>
  <c r="C104" i="1"/>
  <c r="C88" i="1"/>
  <c r="C44" i="1"/>
  <c r="C95" i="1"/>
  <c r="C55" i="1"/>
  <c r="C35" i="1"/>
  <c r="C74" i="1"/>
  <c r="C59" i="1"/>
  <c r="C54" i="1"/>
  <c r="C34" i="1"/>
  <c r="C94" i="1"/>
  <c r="C100" i="1"/>
  <c r="C65" i="1"/>
  <c r="C99" i="1"/>
  <c r="C75" i="1"/>
  <c r="C64" i="1"/>
  <c r="C90" i="1"/>
  <c r="C79" i="1"/>
  <c r="C43" i="1"/>
  <c r="C63" i="1"/>
  <c r="C58" i="1"/>
  <c r="C101" i="1"/>
  <c r="C96" i="1"/>
  <c r="C91" i="1"/>
  <c r="C86" i="1"/>
  <c r="C81" i="1"/>
  <c r="C76" i="1"/>
  <c r="C71" i="1"/>
  <c r="C66" i="1"/>
  <c r="C102" i="1"/>
  <c r="C97" i="1"/>
  <c r="C92" i="1"/>
  <c r="C87" i="1"/>
  <c r="C82" i="1"/>
  <c r="C77" i="1"/>
  <c r="C72" i="1"/>
  <c r="C67" i="1"/>
  <c r="C33" i="1"/>
  <c r="D68" i="1" l="1"/>
  <c r="H57" i="1" a="1"/>
  <c r="H57" i="1" s="1"/>
  <c r="H68" i="1" s="1" a="1"/>
  <c r="H68" i="1" s="1"/>
  <c r="G57" i="1"/>
  <c r="G68" i="1" s="1"/>
  <c r="F63" i="1" a="1"/>
  <c r="F63" i="1" s="1"/>
  <c r="I66" i="1"/>
  <c r="I59" i="1"/>
  <c r="I47" i="1"/>
  <c r="I64" i="1"/>
  <c r="I67" i="1"/>
  <c r="I39" i="1"/>
  <c r="I52" i="1"/>
  <c r="E32" i="1"/>
  <c r="E57" i="1" s="1"/>
  <c r="I58" i="1"/>
  <c r="I61" i="1"/>
  <c r="I41" i="1"/>
  <c r="I45" i="1"/>
  <c r="I60" i="1"/>
  <c r="I54" i="1"/>
  <c r="I35" i="1"/>
  <c r="I56" i="1"/>
  <c r="I40" i="1"/>
  <c r="I62" i="1"/>
  <c r="I36" i="1"/>
  <c r="H63" i="1" a="1"/>
  <c r="H63" i="1" s="1"/>
  <c r="H69" i="1" s="1" a="1"/>
  <c r="H69" i="1" s="1"/>
  <c r="I32" i="1"/>
  <c r="I50" i="1"/>
  <c r="I38" i="1"/>
  <c r="I42" i="1"/>
  <c r="I51" i="1"/>
  <c r="I44" i="1"/>
  <c r="I46" i="1"/>
  <c r="I55" i="1"/>
  <c r="I37" i="1"/>
  <c r="I49" i="1"/>
  <c r="I43" i="1"/>
  <c r="I34" i="1"/>
  <c r="G63" i="1"/>
  <c r="G69" i="1" s="1"/>
  <c r="D63" i="1"/>
  <c r="E63" i="1" s="1"/>
  <c r="I53" i="1"/>
  <c r="I33" i="1"/>
  <c r="I48" i="1"/>
  <c r="E68" i="1" l="1"/>
  <c r="I57" i="1"/>
  <c r="F68" i="1" a="1"/>
  <c r="F68" i="1" s="1"/>
  <c r="F69" i="1" s="1" a="1"/>
  <c r="F69" i="1" s="1"/>
  <c r="G71" i="1"/>
  <c r="G81" i="1" s="1"/>
  <c r="F71" i="1" a="1"/>
  <c r="F71" i="1" s="1"/>
  <c r="F81" i="1" s="1" a="1"/>
  <c r="F81" i="1" s="1"/>
  <c r="H71" i="1" a="1"/>
  <c r="H71" i="1" s="1"/>
  <c r="H81" i="1" s="1" a="1"/>
  <c r="H81" i="1" s="1"/>
  <c r="D69" i="1"/>
  <c r="I63" i="1"/>
  <c r="I68" i="1" l="1"/>
  <c r="I69" i="1" s="1"/>
  <c r="D71" i="1"/>
  <c r="D81" i="1" s="1"/>
  <c r="E69" i="1"/>
  <c r="I71" i="1"/>
  <c r="I81" i="1" s="1"/>
  <c r="E71" i="1" l="1"/>
  <c r="E81"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<sst xmlns="http://schemas.openxmlformats.org/spreadsheetml/2006/main" count="74" uniqueCount="73">
  <si>
    <t>Revolving Line of Credit</t>
  </si>
  <si>
    <t>■  FACILITY TERMS</t>
  </si>
  <si>
    <t>Minimum first draw (on Day 1)</t>
  </si>
  <si>
    <t>Minimum additional draw</t>
  </si>
  <si>
    <t>Financing charge (on amounts drawn only)</t>
  </si>
  <si>
    <t>Origination fee (deducted at funding)</t>
  </si>
  <si>
    <t>Unused line fee (per month, on undrawn amount)</t>
  </si>
  <si>
    <t>Draw period (months)</t>
  </si>
  <si>
    <t>Start date (Day 1)</t>
  </si>
  <si>
    <t>■  YOUR PLANNED DRAWS</t>
  </si>
  <si>
    <t>Date</t>
  </si>
  <si>
    <t>Origination fee</t>
  </si>
  <si>
    <t>Cash you receive</t>
  </si>
  <si>
    <t>Check</t>
  </si>
  <si>
    <t>■  MONTHLY SCHEDULE</t>
  </si>
  <si>
    <t>All figures in $</t>
  </si>
  <si>
    <t>Month</t>
  </si>
  <si>
    <t>New draw</t>
  </si>
  <si>
    <t>Monthly payment</t>
  </si>
  <si>
    <t>Unused line fee</t>
  </si>
  <si>
    <t>Total due</t>
  </si>
  <si>
    <t>Balance owed</t>
  </si>
  <si>
    <t>Payments are due monthly on the same day of the month as each draw, starting one month after the draw.</t>
  </si>
  <si>
    <t>Draw capital as you need it and only pay for what you use</t>
  </si>
  <si>
    <t>Facility Limit (Maximum)</t>
  </si>
  <si>
    <t>Cost of the capital you draw</t>
  </si>
  <si>
    <t>Only paid on what you draw</t>
  </si>
  <si>
    <t>The price you pay to have predictable access to your facility maximum</t>
  </si>
  <si>
    <t>Min increments help minimize administrative work</t>
  </si>
  <si>
    <t>■  PAYDOWN ENGINE (helper — no inputs here)</t>
  </si>
  <si>
    <t>Event #</t>
  </si>
  <si>
    <t>Paydown?</t>
  </si>
  <si>
    <t>Draw principal</t>
  </si>
  <si>
    <t>Owed on draw (incl. charge)</t>
  </si>
  <si>
    <t>Balance before paydown</t>
  </si>
  <si>
    <t>Paydown factor</t>
  </si>
  <si>
    <t>Capacity used after event</t>
  </si>
  <si>
    <t>Remaining-balance factor for each draw (row) after each event (column)</t>
  </si>
  <si>
    <t>Type</t>
  </si>
  <si>
    <t>Net cash to you</t>
  </si>
  <si>
    <t>Draw (Day 1)</t>
  </si>
  <si>
    <t>Total drawn</t>
  </si>
  <si>
    <t>Total paid down</t>
  </si>
  <si>
    <t>Amount</t>
  </si>
  <si>
    <t>Paydown</t>
  </si>
  <si>
    <t>Paydowns: set Type to Paydown and enter the month and amount (rows in date order). The financing charge is fully earned, so a paydown reduces the balance owed and lowers the remaining payments without changing the end date. The principal part of a paydown becomes available to draw again during the draw period. A draw that is fully repaid also frees up that amount. This schedule is illustrative; the Loan Agreement governs.</t>
  </si>
  <si>
    <t>Amount (absolute)</t>
  </si>
  <si>
    <t>Draw up the facility limit during this period</t>
  </si>
  <si>
    <t>Pay down the facility during this period</t>
  </si>
  <si>
    <t>Repayment Period (months)</t>
  </si>
  <si>
    <t>Important Disclaimer</t>
  </si>
  <si>
    <t>Please read before relying on anything in this workbook.</t>
  </si>
  <si>
    <t>■  TERMS OF USE</t>
  </si>
  <si>
    <t>Illustration only, not an offer</t>
  </si>
  <si>
    <t>This workbook is an illustrative model for discussion purposes only. It is not an offer, commitment, term sheet, approval, or agreement to provide financing of any kind, and it does not create any binding obligation on Founderpath or any of its affiliates.</t>
  </si>
  <si>
    <t>Subject to underwriting</t>
  </si>
  <si>
    <t>Any financing is subject to Founderpath's review and approval in its sole discretion, including underwriting, due diligence, credit approval, and the negotiation and execution of definitive loan documents. Founderpath may decline to provide financing for any reason.</t>
  </si>
  <si>
    <t>Terms may differ</t>
  </si>
  <si>
    <t>All rates, fees, limits, draw amounts, dates, and repayment figures shown are hypothetical and may differ materially from any terms actually offered. Terms may change at any time without notice.</t>
  </si>
  <si>
    <t>Loan agreement governs</t>
  </si>
  <si>
    <t>If financing is provided, only the executed loan agreement and related documents will govern. In any conflict between this workbook and those documents, the executed documents control.</t>
  </si>
  <si>
    <t>Estimates, not guarantees</t>
  </si>
  <si>
    <t>Calculations are estimates based on the inputs entered and simplifying assumptions (for example, on-time payments and monthly timing). Figures may be rounded and may contain errors. No representation or warranty, express or implied, is made as to accuracy or completeness.</t>
  </si>
  <si>
    <t>User-entered inputs</t>
  </si>
  <si>
    <t>Results depend entirely on the inputs entered by the user. Founderpath is not responsible for results produced from modified inputs, formulas, or copies of this workbook.</t>
  </si>
  <si>
    <t>No advice</t>
  </si>
  <si>
    <t>Nothing in this workbook is financial, legal, tax, or accounting advice. You should consult your own advisors before making any financing decision.</t>
  </si>
  <si>
    <t>No reliance; limitation of liability</t>
  </si>
  <si>
    <t>You should not rely on this workbook in making any decision. To the fullest extent permitted by law, Founderpath and its affiliates disclaim all liability for any loss arising from use of or reliance on this workbook.</t>
  </si>
  <si>
    <t>Confidential</t>
  </si>
  <si>
    <t>This workbook is provided for the recipient's internal use and may not be shared with third parties without Founderpath's consent.</t>
  </si>
  <si>
    <t>By using this workbook, you acknowledge that you have read and understood this disclaimer.</t>
  </si>
  <si>
    <t>Illustrative only. Not an offer or commitment to lend. See the Disclaimer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</si>
</sst>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quot;#,##0\);\–"/>
    <numFmt numFmtId="165" formatCode="0.0%"/>
    <numFmt numFmtId="166" formatCode="mmm\ d&quot;, &quot;yyyy"/>
    <numFmt numFmtId="167" formatCode="\$#,##0.00;&quot;($&quot;#,##0.00\);\–"/>
    <numFmt numFmtId="173" formatCode="&quot;$&quot;#,##0;\(&quot;$&quot;#,##0\);\–"/>
    <numFmt numFmtId="179" formatCode="0.000"/>
  </numFmts>
  <fonts count="16" x14ac:knownFonts="1">
    <font>
      <sz val="11"/>
      <color theme="1"/>
      <name val="Calibri"/>
      <family val="2"/>
      <charset val="1"/>
    </font>
    <font>
      <b/>
      <sz val="9"/>
      <color rgb="FF443DD8"/>
      <name val="Arial"/>
      <family val="2"/>
    </font>
    <font>
      <sz val="20"/>
      <color rgb="FF10121F"/>
      <name val="Arial"/>
      <family val="2"/>
    </font>
    <font>
      <sz val="10"/>
      <color rgb="FF545B72"/>
      <name val="Arial"/>
      <family val="2"/>
    </font>
    <font>
      <sz val="9"/>
      <color rgb="FF545B72"/>
      <name val="Arial"/>
      <family val="2"/>
    </font>
    <font>
      <b/>
      <sz val="8"/>
      <color rgb="FF8B91A6"/>
      <name val="Arial"/>
      <family val="2"/>
    </font>
    <font>
      <sz val="8"/>
      <color rgb="FF8B91A6"/>
      <name val="Arial"/>
      <family val="2"/>
    </font>
    <font>
      <sz val="10"/>
      <color rgb="FF10121F"/>
      <name val="Arial"/>
      <family val="2"/>
    </font>
    <font>
      <b/>
      <sz val="10"/>
      <color rgb="FF443DD8"/>
      <name val="Arial"/>
      <family val="2"/>
    </font>
    <font>
      <b/>
      <sz val="10"/>
      <color rgb="FF10121F"/>
      <name val="Arial"/>
      <family val="2"/>
    </font>
    <font>
      <u/>
      <sz val="11"/>
      <color theme="10"/>
      <name val="Calibri"/>
      <family val="2"/>
      <charset val="1"/>
    </font>
    <font>
      <b/>
      <sz val="9"/>
      <color rgb="FFC00000"/>
      <name val="Arial"/>
      <family val="2"/>
    </font>
    <font>
      <u/>
      <sz val="11"/>
      <color theme="1"/>
      <name val="Calibri"/>
      <family val="2"/>
      <charset val="1"/>
    </font>
    <font>
      <b/>
      <sz val="8"/>
      <color rgb="FF8B91A6"/>
      <name val="Calibri"/>
      <family val="2"/>
      <charset val="1"/>
    </font>
    <font>
      <sz val="9"/>
      <color rgb="FF8B91A6"/>
      <name val="Calibri"/>
      <family val="2"/>
      <charset val="1"/>
    </font>
    <font>
      <i/>
      <sz val="9"/>
      <color rgb="FF545B72"/>
      <name val="Arial"/>
      <family val="2"/>
    </font>
  </fonts>
  <fills count="4">
    <fill>
      <patternFill patternType="none"/>
    </fill>
    <fill>
      <patternFill patternType="gray125"/>
    </fill>
    <fill>
      <patternFill patternType="solid">
        <fgColor rgb="FFE2E0FA"/>
        <bgColor rgb="FFE3E5EF"/>
      </patternFill>
    </fill>
    <fill>
      <patternFill patternType="solid">
        <fgColor rgb="FFE2E0FA"/>
        <bgColor indexed="64"/>
      </patternFill>
    </fill>
  </fills>
  <borders count="4">
    <border>
      <left/>
      <right/>
      <top/>
      <bottom/>
      <diagonal/>
    </border>
    <border>
      <left/>
      <right/>
      <top/>
      <bottom style="medium">
        <color rgb="FF10121F"/>
      </bottom>
      <diagonal/>
    </border>
    <border>
      <left/>
      <right/>
      <top/>
      <bottom style="thin">
        <color rgb="FFE3E5EF"/>
      </bottom>
      <diagonal/>
    </border>
    <border>
      <left/>
      <right/>
      <top style="medium">
        <color rgb="FF10121F"/>
      </top>
      <bottom/>
      <diagonal/>
    </border>
  </borders>
  <cellStyleXfs count="2">
    <xf numFmtId="0" fontId="0" fillId="0" borderId="0"/>
    <xf numFmtId="0" fontId="10" fillId="0" borderId="0" applyNumberFormat="0" applyFill="0" applyBorder="0" applyAlignment="0" applyProtection="0"/>
  </cellStyleXfs>
  <cellXfs count="4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xf numFmtId="0" fontId="0" fillId="0" borderId="1" xfId="0" applyBorder="1"/>
    <xf numFmtId="0" fontId="6" fillId="0" borderId="1" xfId="0" applyFont="1" applyBorder="1" applyAlignment="1">
      <alignment horizontal="right"/>
    </xf>
    <xf numFmtId="0" fontId="7" fillId="0" borderId="2" xfId="0" applyFont="1" applyBorder="1"/>
    <xf numFmtId="0" fontId="7" fillId="0" borderId="0" xfId="0" applyFont="1"/>
    <xf numFmtId="0" fontId="5" fillId="0" borderId="1" xfId="0" applyFont="1" applyBorder="1" applyAlignment="1">
      <alignment horizontal="left" wrapText="1"/>
    </xf>
    <xf numFmtId="0" fontId="5" fillId="0" borderId="1" xfId="0" applyFont="1" applyBorder="1" applyAlignment="1">
      <alignment horizontal="right" wrapText="1"/>
    </xf>
    <xf numFmtId="1" fontId="8" fillId="2" borderId="2" xfId="0" applyNumberFormat="1" applyFont="1" applyFill="1" applyBorder="1" applyProtection="1">
      <protection locked="0"/>
    </xf>
    <xf numFmtId="166" fontId="7" fillId="0" borderId="2" xfId="0" applyNumberFormat="1" applyFont="1" applyBorder="1"/>
    <xf numFmtId="164" fontId="8" fillId="2" borderId="2" xfId="0" applyNumberFormat="1" applyFont="1" applyFill="1" applyBorder="1" applyProtection="1">
      <protection locked="0"/>
    </xf>
    <xf numFmtId="164" fontId="7" fillId="0" borderId="2" xfId="0" applyNumberFormat="1" applyFont="1" applyBorder="1"/>
    <xf numFmtId="0" fontId="7" fillId="0" borderId="2" xfId="0" applyFont="1" applyBorder="1" applyAlignment="1">
      <alignment horizontal="left" indent="1"/>
    </xf>
    <xf numFmtId="0" fontId="9" fillId="0" borderId="3" xfId="0" applyFont="1" applyBorder="1"/>
    <xf numFmtId="0" fontId="0" fillId="0" borderId="3" xfId="0" applyBorder="1"/>
    <xf numFmtId="164" fontId="9" fillId="0" borderId="3" xfId="0" applyNumberFormat="1" applyFont="1" applyBorder="1"/>
    <xf numFmtId="164" fontId="8" fillId="3" borderId="2" xfId="0" applyNumberFormat="1" applyFont="1" applyFill="1" applyBorder="1" applyAlignment="1" applyProtection="1">
      <alignment horizontal="right"/>
      <protection locked="0"/>
    </xf>
    <xf numFmtId="9" fontId="8" fillId="3" borderId="2" xfId="0" applyNumberFormat="1" applyFont="1" applyFill="1" applyBorder="1" applyAlignment="1" applyProtection="1">
      <alignment horizontal="right"/>
      <protection locked="0"/>
    </xf>
    <xf numFmtId="165" fontId="8" fillId="3" borderId="2" xfId="0" applyNumberFormat="1" applyFont="1" applyFill="1" applyBorder="1" applyAlignment="1" applyProtection="1">
      <alignment horizontal="right"/>
      <protection locked="0"/>
    </xf>
    <xf numFmtId="1" fontId="8" fillId="3" borderId="2" xfId="0" applyNumberFormat="1" applyFont="1" applyFill="1" applyBorder="1" applyAlignment="1" applyProtection="1">
      <alignment horizontal="right"/>
      <protection locked="0"/>
    </xf>
    <xf numFmtId="1" fontId="11" fillId="0" borderId="0" xfId="0" applyNumberFormat="1" applyFont="1" applyFill="1" applyBorder="1" applyAlignment="1">
      <alignment horizontal="left"/>
    </xf>
    <xf numFmtId="1" fontId="7" fillId="0" borderId="0" xfId="0" applyNumberFormat="1" applyFont="1" applyAlignment="1">
      <alignment horizontal="left"/>
    </xf>
    <xf numFmtId="166" fontId="7" fillId="0" borderId="0" xfId="0" applyNumberFormat="1" applyFont="1"/>
    <xf numFmtId="164" fontId="7" fillId="0" borderId="0" xfId="0" applyNumberFormat="1" applyFont="1"/>
    <xf numFmtId="167" fontId="7" fillId="0" borderId="0" xfId="0" applyNumberFormat="1" applyFont="1"/>
    <xf numFmtId="166" fontId="9" fillId="0" borderId="0" xfId="0" applyNumberFormat="1" applyFont="1" applyFill="1" applyAlignment="1" applyProtection="1">
      <alignment horizontal="right"/>
      <protection locked="0"/>
    </xf>
    <xf numFmtId="0" fontId="12" fillId="0" borderId="0" xfId="0" applyFont="1"/>
    <xf numFmtId="0" fontId="13" fillId="0" borderId="0" xfId="0" applyFont="1"/>
    <xf numFmtId="0" fontId="14" fillId="0" borderId="0" xfId="0" applyFont="1"/>
    <xf numFmtId="173" fontId="14" fillId="0" borderId="0" xfId="0" applyNumberFormat="1" applyFont="1"/>
    <xf numFmtId="179" fontId="14" fillId="0" borderId="0" xfId="0" applyNumberFormat="1" applyFont="1"/>
    <xf numFmtId="0" fontId="13" fillId="0" borderId="0" xfId="0" applyFont="1" applyAlignment="1">
      <alignment wrapText="1"/>
    </xf>
    <xf numFmtId="0" fontId="7" fillId="0" borderId="2" xfId="0" applyFont="1" applyFill="1" applyBorder="1"/>
    <xf numFmtId="0" fontId="3" fillId="0" borderId="2" xfId="0" applyFont="1" applyBorder="1" applyAlignment="1">
      <alignment vertical="top" wrapText="1"/>
    </xf>
    <xf numFmtId="0" fontId="8" fillId="0" borderId="0" xfId="0" applyFont="1" applyAlignment="1"/>
    <xf numFmtId="0" fontId="9" fillId="0" borderId="0" xfId="0" applyFont="1" applyAlignment="1"/>
    <xf numFmtId="0" fontId="15" fillId="0" borderId="0" xfId="0" applyFont="1"/>
    <xf numFmtId="0" fontId="10" fillId="0" borderId="0" xfId="1" quotePrefix="1"/>
  </cellXfs>
  <cellStyles count="2">
    <cellStyle name="Hyperlink" xfId="1" builtinId="8"/>
    <cellStyle name="Normal" xfId="0" builtinId="0"/>
  </cellStyles>
  <dxfs count="5">
    <dxf>
      <fill>
        <patternFill patternType="solid">
          <fgColor indexed="64"/>
          <bgColor rgb="FFF3F4F6"/>
        </patternFill>
      </fill>
    </dxf>
    <dxf>
      <font>
        <b/>
        <i val="0"/>
      </font>
      <border>
        <top style="thin">
          <color rgb="FF10121F"/>
        </top>
        <bottom style="thin">
          <color rgb="FF10121F"/>
        </bottom>
      </border>
    </dxf>
    <dxf>
      <border>
        <bottom style="thin">
          <color rgb="FFE3E5EF"/>
        </bottom>
      </border>
    </dxf>
    <dxf>
      <font>
        <b/>
        <color rgb="FF443DD8"/>
      </font>
    </dxf>
    <dxf>
      <font>
        <b/>
        <color rgb="FFC00000"/>
      </font>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3E5EF"/>
      <rgbColor rgb="FF660066"/>
      <rgbColor rgb="FFFF8080"/>
      <rgbColor rgb="FF0066CC"/>
      <rgbColor rgb="FFE2E0FA"/>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45B72"/>
      <rgbColor rgb="FF8B91A6"/>
      <rgbColor rgb="FF003366"/>
      <rgbColor rgb="FF339966"/>
      <rgbColor rgb="FF10121F"/>
      <rgbColor rgb="FF333300"/>
      <rgbColor rgb="FF993300"/>
      <rgbColor rgb="FF993366"/>
      <rgbColor rgb="FF443DD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1</xdr:col>
      <xdr:colOff>25400</xdr:colOff>
      <xdr:row>1</xdr:row>
      <xdr:rowOff>63500</xdr:rowOff>
    </xdr:from>
    <xdr:ext cx="1501742" cy="254000"/>
    <xdr:pic>
      <xdr:nvPicPr>
        <xdr:cNvPr id="2" name="Founderpath Logo (mono)" descr="Founderpath logo">
          <a:extLst>
            <a:ext uri="{FF2B5EF4-FFF2-40B4-BE49-F238E27FC236}">
              <a16:creationId xmlns:a16="http://schemas.microsoft.com/office/drawing/2014/main" id="{4A099674-2721-CBCC-5A9D-EC085865193A}"/>
            </a:ext>
          </a:extLst>
        </xdr:cNvPr>
        <xdr:cNvPicPr>
          <a:picLocks noChangeAspect="1"/>
        </xdr:cNvPicPr>
      </xdr:nvPicPr>
      <xdr:blipFill>
        <a:blip xmlns:r="http://schemas.openxmlformats.org/officeDocument/2006/relationships" r:embed="rId1"/>
        <a:stretch>
          <a:fillRect/>
        </a:stretch>
      </xdr:blipFill>
      <xdr:spPr>
        <a:xfrm>
          <a:off x="254000" y="254000"/>
          <a:ext cx="1501742" cy="254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63500</xdr:colOff>
      <xdr:row>1</xdr:row>
      <xdr:rowOff>63500</xdr:rowOff>
    </xdr:from>
    <xdr:to>
      <xdr:col>2</xdr:col>
      <xdr:colOff>1057241</xdr:colOff>
      <xdr:row>1</xdr:row>
      <xdr:rowOff>317500</xdr:rowOff>
    </xdr:to>
    <xdr:pic>
      <xdr:nvPicPr>
        <xdr:cNvPr id="2" name="Founderpath Logo (mono)" descr="Founderpath logo">
          <a:extLst>
            <a:ext uri="{FF2B5EF4-FFF2-40B4-BE49-F238E27FC236}">
              <a16:creationId xmlns:a16="http://schemas.microsoft.com/office/drawing/2014/main" id="{9CAD08A1-96AE-1056-3645-FC37D1FE8B00}"/>
            </a:ext>
          </a:extLst>
        </xdr:cNvPr>
        <xdr:cNvPicPr>
          <a:picLocks noChangeAspect="1"/>
        </xdr:cNvPicPr>
      </xdr:nvPicPr>
      <xdr:blipFill>
        <a:blip xmlns:r="http://schemas.openxmlformats.org/officeDocument/2006/relationships" r:embed="rId1"/>
        <a:stretch>
          <a:fillRect/>
        </a:stretch>
      </xdr:blipFill>
      <xdr:spPr>
        <a:xfrm>
          <a:off x="254000" y="254000"/>
          <a:ext cx="1501741" cy="254000"/>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812A5D6-2E08-6847-9A36-0D600674D253}">
  <we:reference id="wa200009404" version="1.0.0.8" store="en-US" storeType="OMEX"/>
  <we:alternateReferences>
    <we:reference id="WA200009404" version="1.0.0.8" store="" storeType="OMEX"/>
  </we:alternateReferences>
  <we:properties>
    <we:property name="claude.fileId" value="&quot;e2c1661a-c709-43e0-9a37-948d5b0df629&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Z111"/>
  <sheetViews>
    <sheetView tabSelected="1" showGridLines="0" zoomScaleNormal="100" workbookViewId="0">
      <pane ySplit="6" topLeftCell="A7" activePane="bottomLeft" state="frozen"/>
      <selection pane="bottomLeft" activeCell="G10" sqref="G10"/>
    </sheetView>
  </sheetViews>
  <sheetFormatPr baseColWidth="10" defaultColWidth="8.6640625" defaultRowHeight="15" outlineLevelCol="1" x14ac:dyDescent="0.2"/>
  <cols>
    <col min="1" max="1" width="3" customWidth="1"/>
    <col min="2" max="2" width="44" customWidth="1"/>
    <col min="3" max="3" width="16" customWidth="1"/>
    <col min="4" max="4" width="14" customWidth="1"/>
    <col min="5" max="7" width="16" customWidth="1"/>
    <col min="8" max="8" width="18" customWidth="1"/>
    <col min="9" max="10" width="16" customWidth="1"/>
    <col min="11" max="11" width="3" customWidth="1"/>
    <col min="12" max="24" width="10.33203125" hidden="1" customWidth="1" outlineLevel="1"/>
    <col min="25" max="25" width="10.33203125" hidden="1" customWidth="1" outlineLevel="1" collapsed="1"/>
    <col min="26" max="26" width="8.6640625" collapsed="1"/>
  </cols>
  <sheetData>
    <row r="2" spans="2:9" ht="30" customHeight="1" x14ac:dyDescent="0.2">
      <c r="B2" s="1"/>
    </row>
    <row r="3" spans="2:9" ht="30" customHeight="1" x14ac:dyDescent="0.25">
      <c r="B3" s="2" t="s">
        <v>0</v>
      </c>
    </row>
    <row r="4" spans="2:9" x14ac:dyDescent="0.2">
      <c r="B4" s="3" t="s">
        <v>23</v>
      </c>
    </row>
    <row r="5" spans="2:9" x14ac:dyDescent="0.2">
      <c r="B5" s="4"/>
    </row>
    <row r="7" spans="2:9" ht="19.5" customHeight="1" thickBot="1" x14ac:dyDescent="0.25">
      <c r="B7" s="5" t="s">
        <v>1</v>
      </c>
      <c r="C7" s="6"/>
      <c r="D7" s="6"/>
      <c r="E7" s="6"/>
      <c r="F7" s="6"/>
      <c r="G7" s="6"/>
      <c r="H7" s="6"/>
      <c r="I7" s="7"/>
    </row>
    <row r="8" spans="2:9" x14ac:dyDescent="0.2">
      <c r="B8" s="8" t="s">
        <v>24</v>
      </c>
      <c r="C8" s="20">
        <v>1000000</v>
      </c>
      <c r="E8" s="9" t="s">
        <v>8</v>
      </c>
      <c r="G8" s="29">
        <f ca="1">TODAY()</f>
        <v>46292</v>
      </c>
    </row>
    <row r="9" spans="2:9" x14ac:dyDescent="0.2">
      <c r="B9" s="8" t="s">
        <v>2</v>
      </c>
      <c r="C9" s="20">
        <v>250000</v>
      </c>
    </row>
    <row r="10" spans="2:9" x14ac:dyDescent="0.2">
      <c r="B10" s="8" t="s">
        <v>3</v>
      </c>
      <c r="C10" s="20">
        <v>250000</v>
      </c>
      <c r="E10" s="4" t="s">
        <v>28</v>
      </c>
    </row>
    <row r="11" spans="2:9" x14ac:dyDescent="0.2">
      <c r="B11" s="8" t="s">
        <v>4</v>
      </c>
      <c r="C11" s="21">
        <v>0.1</v>
      </c>
      <c r="E11" s="4" t="s">
        <v>25</v>
      </c>
    </row>
    <row r="12" spans="2:9" x14ac:dyDescent="0.2">
      <c r="B12" s="8" t="s">
        <v>5</v>
      </c>
      <c r="C12" s="21">
        <v>0.02</v>
      </c>
      <c r="E12" s="4" t="s">
        <v>26</v>
      </c>
    </row>
    <row r="13" spans="2:9" x14ac:dyDescent="0.2">
      <c r="B13" s="8" t="s">
        <v>6</v>
      </c>
      <c r="C13" s="22">
        <v>1E-3</v>
      </c>
      <c r="E13" s="4" t="s">
        <v>27</v>
      </c>
    </row>
    <row r="14" spans="2:9" x14ac:dyDescent="0.2">
      <c r="B14" s="8" t="s">
        <v>7</v>
      </c>
      <c r="C14" s="23">
        <v>12</v>
      </c>
      <c r="E14" s="4" t="s">
        <v>47</v>
      </c>
      <c r="G14" s="30"/>
    </row>
    <row r="15" spans="2:9" x14ac:dyDescent="0.2">
      <c r="B15" s="8" t="s">
        <v>49</v>
      </c>
      <c r="C15" s="23">
        <v>24</v>
      </c>
      <c r="E15" s="4" t="s">
        <v>48</v>
      </c>
    </row>
    <row r="18" spans="2:25" ht="19.5" customHeight="1" x14ac:dyDescent="0.2">
      <c r="B18" s="5" t="s">
        <v>9</v>
      </c>
      <c r="C18" s="6"/>
      <c r="D18" s="6"/>
      <c r="E18" s="6"/>
      <c r="F18" s="6"/>
      <c r="G18" s="6"/>
      <c r="H18" s="6"/>
      <c r="I18" s="7"/>
      <c r="L18" s="31" t="s">
        <v>29</v>
      </c>
      <c r="M18" s="31"/>
      <c r="N18" s="31"/>
      <c r="O18" s="31"/>
      <c r="P18" s="31"/>
      <c r="Q18" s="31"/>
      <c r="R18" s="31"/>
      <c r="S18" s="31" t="s">
        <v>37</v>
      </c>
      <c r="T18" s="31"/>
      <c r="U18" s="31"/>
      <c r="V18" s="31"/>
      <c r="W18" s="31"/>
      <c r="X18" s="31"/>
    </row>
    <row r="19" spans="2:25" ht="27.75" customHeight="1" x14ac:dyDescent="0.2">
      <c r="B19" s="10" t="s">
        <v>38</v>
      </c>
      <c r="C19" s="11" t="str">
        <f>"Month (draws 0–"&amp;$C$14&amp;")"</f>
        <v>Month (draws 0–12)</v>
      </c>
      <c r="D19" s="11" t="s">
        <v>10</v>
      </c>
      <c r="E19" s="11" t="s">
        <v>43</v>
      </c>
      <c r="F19" s="11" t="s">
        <v>11</v>
      </c>
      <c r="G19" s="11" t="s">
        <v>39</v>
      </c>
      <c r="H19" s="10" t="s">
        <v>13</v>
      </c>
      <c r="L19" s="35" t="s">
        <v>30</v>
      </c>
      <c r="M19" s="35" t="s">
        <v>31</v>
      </c>
      <c r="N19" s="35" t="s">
        <v>32</v>
      </c>
      <c r="O19" s="35" t="s">
        <v>33</v>
      </c>
      <c r="P19" s="35" t="s">
        <v>34</v>
      </c>
      <c r="Q19" s="35" t="s">
        <v>35</v>
      </c>
      <c r="R19" s="35" t="s">
        <v>36</v>
      </c>
      <c r="S19" s="35">
        <v>1</v>
      </c>
      <c r="T19" s="35">
        <v>2</v>
      </c>
      <c r="U19" s="35">
        <v>3</v>
      </c>
      <c r="V19" s="35">
        <v>4</v>
      </c>
      <c r="W19" s="35">
        <v>5</v>
      </c>
      <c r="X19" s="35">
        <v>6</v>
      </c>
      <c r="Y19" s="35" t="s">
        <v>46</v>
      </c>
    </row>
    <row r="20" spans="2:25" x14ac:dyDescent="0.2">
      <c r="B20" s="8" t="s">
        <v>40</v>
      </c>
      <c r="C20" s="12">
        <v>0</v>
      </c>
      <c r="D20" s="13">
        <f ca="1">IF(C20="","",EDATE($G$8,C20))</f>
        <v>46292</v>
      </c>
      <c r="E20" s="14">
        <v>300000</v>
      </c>
      <c r="F20" s="15">
        <f>IF($B20="Paydown",0,Y20*$C$12)</f>
        <v>6000</v>
      </c>
      <c r="G20" s="15">
        <f>IF($B20="Paydown",-Y20,Y20-F20)</f>
        <v>294000</v>
      </c>
      <c r="H20" s="16" t="str">
        <f>IF(Y20=0,"",IF(C20="","Enter month",IF(OR(C20&lt;0,C20&gt;$C$14),"Outside draw period",IF(C20&lt;&gt;0,"Must be Month 0",IF(E20&lt;$C$9,"Below minimum","OK")))))</f>
        <v>OK</v>
      </c>
      <c r="L20" s="32">
        <v>1</v>
      </c>
      <c r="M20" s="32">
        <f>--($B20="Paydown")</f>
        <v>0</v>
      </c>
      <c r="N20" s="33">
        <f>IF(M20=1,0,$Y20)</f>
        <v>300000</v>
      </c>
      <c r="O20" s="33">
        <f>N20*(1+$C$11)</f>
        <v>330000</v>
      </c>
      <c r="P20" s="33" t="str">
        <f>""</f>
        <v/>
      </c>
      <c r="Q20" s="34">
        <f>IF(M20=1,IF(N(P20)&gt;0,MAX(0,1-$Y20/P20),0),1)</f>
        <v>1</v>
      </c>
      <c r="R20" s="33" cm="1">
        <f t="array" ref="R20">MAX(0,SUMPRODUCT(($L$20:$L$25&lt;=L20)*$N$20:$N$25*(($C$20:$C$25+$C$15)&gt;$C20))-SUMPRODUCT(($L$20:$L$25&lt;=L20)*$M$20:$M$25*$Y$20:$Y$25)/(1+$C$11))</f>
        <v>300000</v>
      </c>
      <c r="S20" s="34">
        <f>1</f>
        <v>1</v>
      </c>
      <c r="T20" s="34" cm="1">
        <f t="array" ref="T20">IF(T$19&lt;=$L20,1,S20*INDEX($Q$20:$Q$25,T$19))</f>
        <v>1</v>
      </c>
      <c r="U20" s="34" cm="1">
        <f t="array" ref="U20">IF(U$19&lt;=$L20,1,T20*INDEX($Q$20:$Q$25,U$19))</f>
        <v>0.80944819372766974</v>
      </c>
      <c r="V20" s="34" cm="1">
        <f t="array" ref="V20">IF(V$19&lt;=$L20,1,U20*INDEX($Q$20:$Q$25,V$19))</f>
        <v>0.45563983991931595</v>
      </c>
      <c r="W20" s="34" cm="1">
        <f t="array" ref="W20">IF(W$19&lt;=$L20,1,V20*INDEX($Q$20:$Q$25,W$19))</f>
        <v>0.45563983991931595</v>
      </c>
      <c r="X20" s="34" cm="1">
        <f t="array" ref="X20">IF(X$19&lt;=$L20,1,W20*INDEX($Q$20:$Q$25,X$19))</f>
        <v>0.45563983991931595</v>
      </c>
      <c r="Y20" s="33">
        <f>ABS(N(E20))</f>
        <v>300000</v>
      </c>
    </row>
    <row r="21" spans="2:25" x14ac:dyDescent="0.2">
      <c r="B21" s="36" t="str">
        <f>IF(N(E21)&lt;0,"Paydown","Draw")</f>
        <v>Draw</v>
      </c>
      <c r="C21" s="12">
        <v>4</v>
      </c>
      <c r="D21" s="13">
        <f ca="1">IF(C21="","",EDATE($G$8,C21))</f>
        <v>46414</v>
      </c>
      <c r="E21" s="14">
        <v>250000</v>
      </c>
      <c r="F21" s="15">
        <f>IF($B21="Paydown",0,Y21*$C$12)</f>
        <v>5000</v>
      </c>
      <c r="G21" s="15">
        <f>IF($B21="Paydown",-Y21,Y21-F21)</f>
        <v>245000</v>
      </c>
      <c r="H21" s="16" t="str">
        <f>IF(Y21=0,"",IF(C21="","Enter month",IF(C21&lt;MAX($C$20:C20),"Enter rows in date order",IF($B21="Paydown",IF(OR(C21&lt;1,C21&gt;$C$14+$C$15),"Outside repayment term",IF($Q21=0,"Exceeds balance owed","OK")),IF(OR(C21&lt;0,C21&gt;$C$14),"Outside draw period",IF(Y21&lt;$C$10,"Below minimum","OK"))))))</f>
        <v>OK</v>
      </c>
      <c r="L21" s="32">
        <v>2</v>
      </c>
      <c r="M21" s="32">
        <f>--($B21="Paydown")</f>
        <v>0</v>
      </c>
      <c r="N21" s="33">
        <f>IF(M21=1,0,$Y21)</f>
        <v>250000</v>
      </c>
      <c r="O21" s="33">
        <f>N21*(1+$C$11)</f>
        <v>275000</v>
      </c>
      <c r="P21" s="33" t="str" cm="1">
        <f t="array" ref="P21">IF(M21=1,SUMPRODUCT($O$20:$O$25*($L$20:$L$25&lt;L21)*(($C$20:$C$25+$C$15-$C21)&gt;0)*($C$20:$C$25+$C$15-$C21)/$C$15*S$20:S$25),"")</f>
        <v/>
      </c>
      <c r="Q21" s="34">
        <f>IF(M21=1,IF(N(P21)&gt;0,MAX(0,1-$Y21/P21),0),1)</f>
        <v>1</v>
      </c>
      <c r="R21" s="33" cm="1">
        <f t="array" ref="R21">MAX(0,SUMPRODUCT(($L$20:$L$25&lt;=L21)*$N$20:$N$25*(($C$20:$C$25+$C$15)&gt;$C21))-SUMPRODUCT(($L$20:$L$25&lt;=L21)*$M$20:$M$25*$Y$20:$Y$25)/(1+$C$11))</f>
        <v>550000</v>
      </c>
      <c r="S21" s="34">
        <f>1</f>
        <v>1</v>
      </c>
      <c r="T21" s="34" cm="1">
        <f t="array" ref="T21">IF(T$19&lt;=$L21,1,S21*INDEX($Q$20:$Q$25,T$19))</f>
        <v>1</v>
      </c>
      <c r="U21" s="34" cm="1">
        <f t="array" ref="U21">IF(U$19&lt;=$L21,1,T21*INDEX($Q$20:$Q$25,U$19))</f>
        <v>0.80944819372766974</v>
      </c>
      <c r="V21" s="34" cm="1">
        <f t="array" ref="V21">IF(V$19&lt;=$L21,1,U21*INDEX($Q$20:$Q$25,V$19))</f>
        <v>0.45563983991931595</v>
      </c>
      <c r="W21" s="34" cm="1">
        <f t="array" ref="W21">IF(W$19&lt;=$L21,1,V21*INDEX($Q$20:$Q$25,W$19))</f>
        <v>0.45563983991931595</v>
      </c>
      <c r="X21" s="34" cm="1">
        <f t="array" ref="X21">IF(X$19&lt;=$L21,1,W21*INDEX($Q$20:$Q$25,X$19))</f>
        <v>0.45563983991931595</v>
      </c>
      <c r="Y21" s="33">
        <f>ABS(N(E21))</f>
        <v>250000</v>
      </c>
    </row>
    <row r="22" spans="2:25" x14ac:dyDescent="0.2">
      <c r="B22" s="36" t="str">
        <f>IF(N(E22)&lt;0,"Paydown","Draw")</f>
        <v>Paydown</v>
      </c>
      <c r="C22" s="12">
        <v>5</v>
      </c>
      <c r="D22" s="13">
        <f ca="1">IF(C22="","",EDATE($G$8,C22))</f>
        <v>46445</v>
      </c>
      <c r="E22" s="14">
        <v>-100000</v>
      </c>
      <c r="F22" s="15">
        <f>IF($B22="Paydown",0,Y22*$C$12)</f>
        <v>0</v>
      </c>
      <c r="G22" s="15">
        <f>IF($B22="Paydown",-Y22,Y22-F22)</f>
        <v>-100000</v>
      </c>
      <c r="H22" s="16" t="str">
        <f>IF(Y22=0,"",IF(C22="","Enter month",IF(C22&lt;MAX($C$20:C21),"Enter rows in date order",IF($B22="Paydown",IF(OR(C22&lt;1,C22&gt;$C$14+$C$15),"Outside repayment term",IF($Q22=0,"Exceeds balance owed","OK")),IF(OR(C22&lt;0,C22&gt;$C$14),"Outside draw period",IF(Y22&lt;$C$10,"Below minimum","OK"))))))</f>
        <v>OK</v>
      </c>
      <c r="L22" s="32">
        <v>3</v>
      </c>
      <c r="M22" s="32">
        <f>--($B22="Paydown")</f>
        <v>1</v>
      </c>
      <c r="N22" s="33">
        <f>IF(M22=1,0,$Y22)</f>
        <v>0</v>
      </c>
      <c r="O22" s="33">
        <f>N22*(1+$C$11)</f>
        <v>0</v>
      </c>
      <c r="P22" s="33" cm="1">
        <f t="array" ref="P22">IF(M22=1,SUMPRODUCT($O$20:$O$25*($L$20:$L$25&lt;L22)*(($C$20:$C$25+$C$15-$C22)&gt;0)*($C$20:$C$25+$C$15-$C22)/$C$15*T$20:T$25),"")</f>
        <v>524791.66666666674</v>
      </c>
      <c r="Q22" s="34">
        <f>IF(M22=1,IF(N(P22)&gt;0,MAX(0,1-$Y22/P22),0),1)</f>
        <v>0.80944819372766974</v>
      </c>
      <c r="R22" s="33" cm="1">
        <f t="array" ref="R22">MAX(0,SUMPRODUCT(($L$20:$L$25&lt;=L22)*$N$20:$N$25*(($C$20:$C$25+$C$15)&gt;$C22))-SUMPRODUCT(($L$20:$L$25&lt;=L22)*$M$20:$M$25*$Y$20:$Y$25)/(1+$C$11))</f>
        <v>459090.90909090912</v>
      </c>
      <c r="S22" s="34">
        <f>1</f>
        <v>1</v>
      </c>
      <c r="T22" s="34" cm="1">
        <f t="array" ref="T22">IF(T$19&lt;=$L22,1,S22*INDEX($Q$20:$Q$25,T$19))</f>
        <v>1</v>
      </c>
      <c r="U22" s="34" cm="1">
        <f t="array" ref="U22">IF(U$19&lt;=$L22,1,T22*INDEX($Q$20:$Q$25,U$19))</f>
        <v>1</v>
      </c>
      <c r="V22" s="34" cm="1">
        <f t="array" ref="V22">IF(V$19&lt;=$L22,1,U22*INDEX($Q$20:$Q$25,V$19))</f>
        <v>0.56290179340694302</v>
      </c>
      <c r="W22" s="34" cm="1">
        <f t="array" ref="W22">IF(W$19&lt;=$L22,1,V22*INDEX($Q$20:$Q$25,W$19))</f>
        <v>0.56290179340694302</v>
      </c>
      <c r="X22" s="34" cm="1">
        <f t="array" ref="X22">IF(X$19&lt;=$L22,1,W22*INDEX($Q$20:$Q$25,X$19))</f>
        <v>0.56290179340694302</v>
      </c>
      <c r="Y22" s="33">
        <f>ABS(N(E22))</f>
        <v>100000</v>
      </c>
    </row>
    <row r="23" spans="2:25" x14ac:dyDescent="0.2">
      <c r="B23" s="36" t="str">
        <f>IF(N(E23)&lt;0,"Paydown","Draw")</f>
        <v>Paydown</v>
      </c>
      <c r="C23" s="12">
        <v>9</v>
      </c>
      <c r="D23" s="13">
        <f ca="1">IF(C23="","",EDATE($G$8,C23))</f>
        <v>46565</v>
      </c>
      <c r="E23" s="14">
        <v>-150000</v>
      </c>
      <c r="F23" s="15">
        <f>IF($B23="Paydown",0,Y23*$C$12)</f>
        <v>0</v>
      </c>
      <c r="G23" s="15">
        <f>IF($B23="Paydown",-Y23,Y23-F23)</f>
        <v>-150000</v>
      </c>
      <c r="H23" s="16" t="str">
        <f>IF(Y23=0,"",IF(C23="","Enter month",IF(C23&lt;MAX($C$20:C22),"Enter rows in date order",IF($B23="Paydown",IF(OR(C23&lt;1,C23&gt;$C$14+$C$15),"Outside repayment term",IF($Q23=0,"Exceeds balance owed","OK")),IF(OR(C23&lt;0,C23&gt;$C$14),"Outside draw period",IF(Y23&lt;$C$10,"Below minimum","OK"))))))</f>
        <v>OK</v>
      </c>
      <c r="L23" s="32">
        <v>4</v>
      </c>
      <c r="M23" s="32">
        <f>--($B23="Paydown")</f>
        <v>1</v>
      </c>
      <c r="N23" s="33">
        <f>IF(M23=1,0,$Y23)</f>
        <v>0</v>
      </c>
      <c r="O23" s="33">
        <f>N23*(1+$C$11)</f>
        <v>0</v>
      </c>
      <c r="P23" s="33" cm="1">
        <f t="array" ref="P23">IF(M23=1,SUMPRODUCT($O$20:$O$25*($L$20:$L$25&lt;L23)*(($C$20:$C$25+$C$15-$C23)&gt;0)*($C$20:$C$25+$C$15-$C23)/$C$15*U$20:U$25),"")</f>
        <v>343172.30713246</v>
      </c>
      <c r="Q23" s="34">
        <f>IF(M23=1,IF(N(P23)&gt;0,MAX(0,1-$Y23/P23),0),1)</f>
        <v>0.56290179340694302</v>
      </c>
      <c r="R23" s="33" cm="1">
        <f t="array" ref="R23">MAX(0,SUMPRODUCT(($L$20:$L$25&lt;=L23)*$N$20:$N$25*(($C$20:$C$25+$C$15)&gt;$C23))-SUMPRODUCT(($L$20:$L$25&lt;=L23)*$M$20:$M$25*$Y$20:$Y$25)/(1+$C$11))</f>
        <v>322727.27272727271</v>
      </c>
      <c r="S23" s="34">
        <f>1</f>
        <v>1</v>
      </c>
      <c r="T23" s="34" cm="1">
        <f t="array" ref="T23">IF(T$19&lt;=$L23,1,S23*INDEX($Q$20:$Q$25,T$19))</f>
        <v>1</v>
      </c>
      <c r="U23" s="34" cm="1">
        <f t="array" ref="U23">IF(U$19&lt;=$L23,1,T23*INDEX($Q$20:$Q$25,U$19))</f>
        <v>1</v>
      </c>
      <c r="V23" s="34" cm="1">
        <f t="array" ref="V23">IF(V$19&lt;=$L23,1,U23*INDEX($Q$20:$Q$25,V$19))</f>
        <v>1</v>
      </c>
      <c r="W23" s="34" cm="1">
        <f t="array" ref="W23">IF(W$19&lt;=$L23,1,V23*INDEX($Q$20:$Q$25,W$19))</f>
        <v>1</v>
      </c>
      <c r="X23" s="34" cm="1">
        <f t="array" ref="X23">IF(X$19&lt;=$L23,1,W23*INDEX($Q$20:$Q$25,X$19))</f>
        <v>1</v>
      </c>
      <c r="Y23" s="33">
        <f>ABS(N(E23))</f>
        <v>150000</v>
      </c>
    </row>
    <row r="24" spans="2:25" x14ac:dyDescent="0.2">
      <c r="B24" s="36" t="str">
        <f>IF(N(E24)&lt;0,"Paydown","Draw")</f>
        <v>Draw</v>
      </c>
      <c r="C24" s="12">
        <v>11</v>
      </c>
      <c r="D24" s="13">
        <f ca="1">IF(C24="","",EDATE($G$8,C24))</f>
        <v>46626</v>
      </c>
      <c r="E24" s="14">
        <v>250000</v>
      </c>
      <c r="F24" s="15">
        <f>IF($B24="Paydown",0,Y24*$C$12)</f>
        <v>5000</v>
      </c>
      <c r="G24" s="15">
        <f>IF($B24="Paydown",-Y24,Y24-F24)</f>
        <v>245000</v>
      </c>
      <c r="H24" s="16" t="str">
        <f>IF(Y24=0,"",IF(C24="","Enter month",IF(C24&lt;MAX($C$20:C23),"Enter rows in date order",IF($B24="Paydown",IF(OR(C24&lt;1,C24&gt;$C$14+$C$15),"Outside repayment term",IF($Q24=0,"Exceeds balance owed","OK")),IF(OR(C24&lt;0,C24&gt;$C$14),"Outside draw period",IF(Y24&lt;$C$10,"Below minimum","OK"))))))</f>
        <v>OK</v>
      </c>
      <c r="L24" s="32">
        <v>5</v>
      </c>
      <c r="M24" s="32">
        <f>--($B24="Paydown")</f>
        <v>0</v>
      </c>
      <c r="N24" s="33">
        <f>IF(M24=1,0,$Y24)</f>
        <v>250000</v>
      </c>
      <c r="O24" s="33">
        <f>N24*(1+$C$11)</f>
        <v>275000</v>
      </c>
      <c r="P24" s="33" t="str" cm="1">
        <f t="array" ref="P24">IF(M24=1,SUMPRODUCT($O$20:$O$25*($L$20:$L$25&lt;L24)*(($C$20:$C$25+$C$15-$C24)&gt;0)*($C$20:$C$25+$C$15-$C24)/$C$15*V$20:V$25),"")</f>
        <v/>
      </c>
      <c r="Q24" s="34">
        <f>IF(M24=1,IF(N(P24)&gt;0,MAX(0,1-$Y24/P24),0),1)</f>
        <v>1</v>
      </c>
      <c r="R24" s="33" cm="1">
        <f t="array" ref="R24">MAX(0,SUMPRODUCT(($L$20:$L$25&lt;=L24)*$N$20:$N$25*(($C$20:$C$25+$C$15)&gt;$C24))-SUMPRODUCT(($L$20:$L$25&lt;=L24)*$M$20:$M$25*$Y$20:$Y$25)/(1+$C$11))</f>
        <v>572727.27272727271</v>
      </c>
      <c r="S24" s="34">
        <f>1</f>
        <v>1</v>
      </c>
      <c r="T24" s="34" cm="1">
        <f t="array" ref="T24">IF(T$19&lt;=$L24,1,S24*INDEX($Q$20:$Q$25,T$19))</f>
        <v>1</v>
      </c>
      <c r="U24" s="34" cm="1">
        <f t="array" ref="U24">IF(U$19&lt;=$L24,1,T24*INDEX($Q$20:$Q$25,U$19))</f>
        <v>1</v>
      </c>
      <c r="V24" s="34" cm="1">
        <f t="array" ref="V24">IF(V$19&lt;=$L24,1,U24*INDEX($Q$20:$Q$25,V$19))</f>
        <v>1</v>
      </c>
      <c r="W24" s="34" cm="1">
        <f t="array" ref="W24">IF(W$19&lt;=$L24,1,V24*INDEX($Q$20:$Q$25,W$19))</f>
        <v>1</v>
      </c>
      <c r="X24" s="34" cm="1">
        <f t="array" ref="X24">IF(X$19&lt;=$L24,1,W24*INDEX($Q$20:$Q$25,X$19))</f>
        <v>1</v>
      </c>
      <c r="Y24" s="33">
        <f>ABS(N(E24))</f>
        <v>250000</v>
      </c>
    </row>
    <row r="25" spans="2:25" x14ac:dyDescent="0.2">
      <c r="B25" s="36" t="str">
        <f>IF(N(E25)&lt;0,"Paydown","Draw")</f>
        <v>Draw</v>
      </c>
      <c r="C25" s="12"/>
      <c r="D25" s="13" t="str">
        <f>IF(C25="","",EDATE($G$8,C25))</f>
        <v/>
      </c>
      <c r="E25" s="14"/>
      <c r="F25" s="15">
        <f>IF($B25="Paydown",0,Y25*$C$12)</f>
        <v>0</v>
      </c>
      <c r="G25" s="15">
        <f>IF($B25="Paydown",-Y25,Y25-F25)</f>
        <v>0</v>
      </c>
      <c r="H25" s="16" t="str">
        <f>IF(Y25=0,"",IF(C25="","Enter month",IF(C25&lt;MAX($C$20:C24),"Enter rows in date order",IF($B25="Paydown",IF(OR(C25&lt;1,C25&gt;$C$14+$C$15),"Outside repayment term",IF($Q25=0,"Exceeds balance owed","OK")),IF(OR(C25&lt;0,C25&gt;$C$14),"Outside draw period",IF(Y25&lt;$C$10,"Below minimum","OK"))))))</f>
        <v/>
      </c>
      <c r="L25" s="32">
        <v>6</v>
      </c>
      <c r="M25" s="32">
        <f>--($B25="Paydown")</f>
        <v>0</v>
      </c>
      <c r="N25" s="33">
        <f>IF(M25=1,0,$Y25)</f>
        <v>0</v>
      </c>
      <c r="O25" s="33">
        <f>N25*(1+$C$11)</f>
        <v>0</v>
      </c>
      <c r="P25" s="33" t="str" cm="1">
        <f t="array" ref="P25">IF(M25=1,SUMPRODUCT($O$20:$O$25*($L$20:$L$25&lt;L25)*(($C$20:$C$25+$C$15-$C25)&gt;0)*($C$20:$C$25+$C$15-$C25)/$C$15*W$20:W$25),"")</f>
        <v/>
      </c>
      <c r="Q25" s="34">
        <f>IF(M25=1,IF(N(P25)&gt;0,MAX(0,1-$Y25/P25),0),1)</f>
        <v>1</v>
      </c>
      <c r="R25" s="33" cm="1">
        <f t="array" ref="R25">MAX(0,SUMPRODUCT(($L$20:$L$25&lt;=L25)*$N$20:$N$25*(($C$20:$C$25+$C$15)&gt;$C25))-SUMPRODUCT(($L$20:$L$25&lt;=L25)*$M$20:$M$25*$Y$20:$Y$25)/(1+$C$11))</f>
        <v>572727.27272727271</v>
      </c>
      <c r="S25" s="34">
        <f>1</f>
        <v>1</v>
      </c>
      <c r="T25" s="34" cm="1">
        <f t="array" ref="T25">IF(T$19&lt;=$L25,1,S25*INDEX($Q$20:$Q$25,T$19))</f>
        <v>1</v>
      </c>
      <c r="U25" s="34" cm="1">
        <f t="array" ref="U25">IF(U$19&lt;=$L25,1,T25*INDEX($Q$20:$Q$25,U$19))</f>
        <v>1</v>
      </c>
      <c r="V25" s="34" cm="1">
        <f t="array" ref="V25">IF(V$19&lt;=$L25,1,U25*INDEX($Q$20:$Q$25,V$19))</f>
        <v>1</v>
      </c>
      <c r="W25" s="34" cm="1">
        <f t="array" ref="W25">IF(W$19&lt;=$L25,1,V25*INDEX($Q$20:$Q$25,W$19))</f>
        <v>1</v>
      </c>
      <c r="X25" s="34" cm="1">
        <f t="array" ref="X25">IF(X$19&lt;=$L25,1,W25*INDEX($Q$20:$Q$25,X$19))</f>
        <v>1</v>
      </c>
      <c r="Y25" s="33">
        <f>ABS(N(E25))</f>
        <v>0</v>
      </c>
    </row>
    <row r="26" spans="2:25" ht="16" thickBot="1" x14ac:dyDescent="0.25">
      <c r="B26" s="17" t="s">
        <v>41</v>
      </c>
      <c r="C26" s="18"/>
      <c r="D26" s="18"/>
      <c r="E26" s="19">
        <f>SUMIFS(Y20:Y25,B20:B25,"&lt;&gt;Paydown")</f>
        <v>800000</v>
      </c>
      <c r="F26" s="19">
        <f>SUM(F20:F25)</f>
        <v>16000</v>
      </c>
      <c r="G26" s="19">
        <f>SUMIFS(G20:G25,B20:B25,"&lt;&gt;Paydown")</f>
        <v>784000</v>
      </c>
      <c r="H26" s="17" t="str">
        <f>IF(MAX(R20:R25)&gt;$C$8+0.01,"Over Facility Limit","")</f>
        <v/>
      </c>
    </row>
    <row r="27" spans="2:25" x14ac:dyDescent="0.2">
      <c r="B27" s="17" t="s">
        <v>42</v>
      </c>
      <c r="C27" s="18"/>
      <c r="D27" s="18"/>
      <c r="E27" s="19">
        <f>SUMIFS(Y20:Y25,B20:B25,"Paydown")</f>
        <v>250000</v>
      </c>
      <c r="F27" s="19"/>
      <c r="G27" s="19">
        <f>-E27</f>
        <v>-250000</v>
      </c>
      <c r="H27" s="17"/>
    </row>
    <row r="30" spans="2:25" ht="19.5" customHeight="1" x14ac:dyDescent="0.2">
      <c r="B30" s="5" t="s">
        <v>14</v>
      </c>
      <c r="C30" s="6"/>
      <c r="D30" s="6"/>
      <c r="E30" s="6"/>
      <c r="F30" s="6"/>
      <c r="G30" s="6"/>
      <c r="H30" s="6"/>
      <c r="I30" s="6"/>
      <c r="J30" s="7" t="s">
        <v>15</v>
      </c>
    </row>
    <row r="31" spans="2:25" ht="27.75" customHeight="1" x14ac:dyDescent="0.2">
      <c r="B31" s="10" t="s">
        <v>16</v>
      </c>
      <c r="C31" s="11" t="s">
        <v>10</v>
      </c>
      <c r="D31" s="11" t="s">
        <v>17</v>
      </c>
      <c r="E31" s="11" t="s">
        <v>12</v>
      </c>
      <c r="F31" s="11" t="s">
        <v>18</v>
      </c>
      <c r="G31" s="11" t="s">
        <v>44</v>
      </c>
      <c r="H31" s="11" t="s">
        <v>19</v>
      </c>
      <c r="I31" s="11" t="s">
        <v>20</v>
      </c>
      <c r="J31" s="11" t="s">
        <v>21</v>
      </c>
    </row>
    <row r="32" spans="2:25" x14ac:dyDescent="0.2">
      <c r="B32" s="25">
        <f>IF(ROWS($B$32:$B32)-1&lt;=($C$14+$C$15),ROWS($B$32:$B32)-1,IF(ROWS($B$32:$B32)-1=($C$14+$C$15)+1,"Total",""))</f>
        <v>0</v>
      </c>
      <c r="C32" s="26">
        <f ca="1">IF(ISNUMBER($B32),EDATE($G$8,$B32),"")</f>
        <v>46292</v>
      </c>
      <c r="D32" s="27">
        <f>IF(ISNUMBER($B32),SUMIFS($Y$20:$Y$25,$C$20:$C$25,$B32,$B$20:$B$25,"&lt;&gt;Paydown"),IF($B32="Total",SUM(D$31:D31),""))</f>
        <v>300000</v>
      </c>
      <c r="E32" s="27">
        <f>IF(ISNUMBER($B32),D32*(1-$C$12),IF($B32="Total",SUM(E$31:E31),""))</f>
        <v>294000</v>
      </c>
      <c r="F32" s="28" cm="1">
        <f t="array" ref="F32">IF(ISNUMBER($B32),SUMPRODUCT($O$20:$O$25*($B32&gt;$C$20:$C$25)*($B32&lt;=$C$20:$C$25+$C$15)*INDEX($S$20:$X$25,0,MAX(1,_xlfn.MAXIFS($L$20:$L$25,$C$20:$C$25,"&lt;="&amp;($B32-1),$Y$20:$Y$25,"&gt;0"))))/$C$15,IF($B32="Total",SUM(F$31:F31),""))</f>
        <v>0</v>
      </c>
      <c r="G32" s="28">
        <f>IF(ISNUMBER($B32),SUMIFS($Y$20:$Y$25,$C$20:$C$25,$B32,$B$20:$B$25,"Paydown"),IF($B32="Total",SUM(G$31:G31),""))</f>
        <v>0</v>
      </c>
      <c r="H32" s="27" cm="1">
        <f t="array" ref="H32">IF(ISNUMBER($B32),IF(AND($B32&gt;=1,$B32&lt;=$C$14),$C$13*MAX(0,$C$8-MAX(0,SUMPRODUCT(($C$20:$C$25&lt;=$B32-1)*($C$20:$C$25+$C$15&gt;$B32-1)*$N$20:$N$25)-SUMIFS($Y$20:$Y$25,$B$20:$B$25,"Paydown",$C$20:$C$25,"&lt;="&amp;($B32-1))/(1+$C$11))),0),IF($B32="Total",SUM(H$31:H31),""))</f>
        <v>0</v>
      </c>
      <c r="I32" s="28">
        <f>IF(ISNUMBER($B32),F32+G32+H32,IF($B32="Total",SUM(I$31:I31),""))</f>
        <v>0</v>
      </c>
      <c r="J32" s="27" cm="1">
        <f t="array" ref="J32">IF(ISNUMBER($B32),ROUND(SUMPRODUCT($O$20:$O$25*($C$20:$C$25&lt;=$B32)*(($C$20:$C$25+$C$15-$B32)&gt;0)*($C$20:$C$25+$C$15-$B32)/$C$15*INDEX($S$20:$X$25,0,MAX(1,_xlfn.MAXIFS($L$20:$L$25,$C$20:$C$25,"&lt;="&amp;$B32,$Y$20:$Y$25,"&gt;0")))),2),"")</f>
        <v>330000</v>
      </c>
    </row>
    <row r="33" spans="2:10" x14ac:dyDescent="0.2">
      <c r="B33" s="25">
        <f>IF(ROWS($B$32:$B33)-1&lt;=($C$14+$C$15),ROWS($B$32:$B33)-1,IF(ROWS($B$32:$B33)-1=($C$14+$C$15)+1,"Total",""))</f>
        <v>1</v>
      </c>
      <c r="C33" s="26">
        <f ca="1">IF(ISNUMBER($B33),EDATE($G$8,$B33),"")</f>
        <v>46322</v>
      </c>
      <c r="D33" s="27">
        <f>IF(ISNUMBER($B33),SUMIFS($Y$20:$Y$25,$C$20:$C$25,$B33,$B$20:$B$25,"&lt;&gt;Paydown"),IF($B33="Total",SUM(D$31:D32),""))</f>
        <v>0</v>
      </c>
      <c r="E33" s="27">
        <f>IF(ISNUMBER($B33),D33*(1-$C$12),IF($B33="Total",SUM(E$31:E32),""))</f>
        <v>0</v>
      </c>
      <c r="F33" s="28" cm="1">
        <f t="array" ref="F33">IF(ISNUMBER($B33),SUMPRODUCT($O$20:$O$25*($B33&gt;$C$20:$C$25)*($B33&lt;=$C$20:$C$25+$C$15)*INDEX($S$20:$X$25,0,MAX(1,_xlfn.MAXIFS($L$20:$L$25,$C$20:$C$25,"&lt;="&amp;($B33-1),$Y$20:$Y$25,"&gt;0"))))/$C$15,IF($B33="Total",SUM(F$31:F32),""))</f>
        <v>13750</v>
      </c>
      <c r="G33" s="28">
        <f>IF(ISNUMBER($B33),SUMIFS($Y$20:$Y$25,$C$20:$C$25,$B33,$B$20:$B$25,"Paydown"),IF($B33="Total",SUM(G$31:G32),""))</f>
        <v>0</v>
      </c>
      <c r="H33" s="27" cm="1">
        <f t="array" ref="H33">IF(ISNUMBER($B33),IF(AND($B33&gt;=1,$B33&lt;=$C$14),$C$13*MAX(0,$C$8-MAX(0,SUMPRODUCT(($C$20:$C$25&lt;=$B33-1)*($C$20:$C$25+$C$15&gt;$B33-1)*$N$20:$N$25)-SUMIFS($Y$20:$Y$25,$B$20:$B$25,"Paydown",$C$20:$C$25,"&lt;="&amp;($B33-1))/(1+$C$11))),0),IF($B33="Total",SUM(H$31:H32),""))</f>
        <v>700</v>
      </c>
      <c r="I33" s="28">
        <f>IF(ISNUMBER($B33),F33+G33+H33,IF($B33="Total",SUM(I$31:I32),""))</f>
        <v>14450</v>
      </c>
      <c r="J33" s="27" cm="1">
        <f t="array" ref="J33">IF(ISNUMBER($B33),ROUND(SUMPRODUCT($O$20:$O$25*($C$20:$C$25&lt;=$B33)*(($C$20:$C$25+$C$15-$B33)&gt;0)*($C$20:$C$25+$C$15-$B33)/$C$15*INDEX($S$20:$X$25,0,MAX(1,_xlfn.MAXIFS($L$20:$L$25,$C$20:$C$25,"&lt;="&amp;$B33,$Y$20:$Y$25,"&gt;0")))),2),"")</f>
        <v>316250</v>
      </c>
    </row>
    <row r="34" spans="2:10" x14ac:dyDescent="0.2">
      <c r="B34" s="25">
        <f>IF(ROWS($B$32:$B34)-1&lt;=($C$14+$C$15),ROWS($B$32:$B34)-1,IF(ROWS($B$32:$B34)-1=($C$14+$C$15)+1,"Total",""))</f>
        <v>2</v>
      </c>
      <c r="C34" s="26">
        <f ca="1">IF(ISNUMBER($B34),EDATE($G$8,$B34),"")</f>
        <v>46353</v>
      </c>
      <c r="D34" s="27">
        <f>IF(ISNUMBER($B34),SUMIFS($Y$20:$Y$25,$C$20:$C$25,$B34,$B$20:$B$25,"&lt;&gt;Paydown"),IF($B34="Total",SUM(D$31:D33),""))</f>
        <v>0</v>
      </c>
      <c r="E34" s="27">
        <f>IF(ISNUMBER($B34),D34*(1-$C$12),IF($B34="Total",SUM(E$31:E33),""))</f>
        <v>0</v>
      </c>
      <c r="F34" s="28" cm="1">
        <f t="array" ref="F34">IF(ISNUMBER($B34),SUMPRODUCT($O$20:$O$25*($B34&gt;$C$20:$C$25)*($B34&lt;=$C$20:$C$25+$C$15)*INDEX($S$20:$X$25,0,MAX(1,_xlfn.MAXIFS($L$20:$L$25,$C$20:$C$25,"&lt;="&amp;($B34-1),$Y$20:$Y$25,"&gt;0"))))/$C$15,IF($B34="Total",SUM(F$31:F33),""))</f>
        <v>13750</v>
      </c>
      <c r="G34" s="28">
        <f>IF(ISNUMBER($B34),SUMIFS($Y$20:$Y$25,$C$20:$C$25,$B34,$B$20:$B$25,"Paydown"),IF($B34="Total",SUM(G$31:G33),""))</f>
        <v>0</v>
      </c>
      <c r="H34" s="27" cm="1">
        <f t="array" ref="H34">IF(ISNUMBER($B34),IF(AND($B34&gt;=1,$B34&lt;=$C$14),$C$13*MAX(0,$C$8-MAX(0,SUMPRODUCT(($C$20:$C$25&lt;=$B34-1)*($C$20:$C$25+$C$15&gt;$B34-1)*$N$20:$N$25)-SUMIFS($Y$20:$Y$25,$B$20:$B$25,"Paydown",$C$20:$C$25,"&lt;="&amp;($B34-1))/(1+$C$11))),0),IF($B34="Total",SUM(H$31:H33),""))</f>
        <v>700</v>
      </c>
      <c r="I34" s="28">
        <f>IF(ISNUMBER($B34),F34+G34+H34,IF($B34="Total",SUM(I$31:I33),""))</f>
        <v>14450</v>
      </c>
      <c r="J34" s="27" cm="1">
        <f t="array" ref="J34">IF(ISNUMBER($B34),ROUND(SUMPRODUCT($O$20:$O$25*($C$20:$C$25&lt;=$B34)*(($C$20:$C$25+$C$15-$B34)&gt;0)*($C$20:$C$25+$C$15-$B34)/$C$15*INDEX($S$20:$X$25,0,MAX(1,_xlfn.MAXIFS($L$20:$L$25,$C$20:$C$25,"&lt;="&amp;$B34,$Y$20:$Y$25,"&gt;0")))),2),"")</f>
        <v>302500</v>
      </c>
    </row>
    <row r="35" spans="2:10" x14ac:dyDescent="0.2">
      <c r="B35" s="25">
        <f>IF(ROWS($B$32:$B35)-1&lt;=($C$14+$C$15),ROWS($B$32:$B35)-1,IF(ROWS($B$32:$B35)-1=($C$14+$C$15)+1,"Total",""))</f>
        <v>3</v>
      </c>
      <c r="C35" s="26">
        <f ca="1">IF(ISNUMBER($B35),EDATE($G$8,$B35),"")</f>
        <v>46383</v>
      </c>
      <c r="D35" s="27">
        <f>IF(ISNUMBER($B35),SUMIFS($Y$20:$Y$25,$C$20:$C$25,$B35,$B$20:$B$25,"&lt;&gt;Paydown"),IF($B35="Total",SUM(D$31:D34),""))</f>
        <v>0</v>
      </c>
      <c r="E35" s="27">
        <f>IF(ISNUMBER($B35),D35*(1-$C$12),IF($B35="Total",SUM(E$31:E34),""))</f>
        <v>0</v>
      </c>
      <c r="F35" s="28" cm="1">
        <f t="array" ref="F35">IF(ISNUMBER($B35),SUMPRODUCT($O$20:$O$25*($B35&gt;$C$20:$C$25)*($B35&lt;=$C$20:$C$25+$C$15)*INDEX($S$20:$X$25,0,MAX(1,_xlfn.MAXIFS($L$20:$L$25,$C$20:$C$25,"&lt;="&amp;($B35-1),$Y$20:$Y$25,"&gt;0"))))/$C$15,IF($B35="Total",SUM(F$31:F34),""))</f>
        <v>13750</v>
      </c>
      <c r="G35" s="28">
        <f>IF(ISNUMBER($B35),SUMIFS($Y$20:$Y$25,$C$20:$C$25,$B35,$B$20:$B$25,"Paydown"),IF($B35="Total",SUM(G$31:G34),""))</f>
        <v>0</v>
      </c>
      <c r="H35" s="27" cm="1">
        <f t="array" ref="H35">IF(ISNUMBER($B35),IF(AND($B35&gt;=1,$B35&lt;=$C$14),$C$13*MAX(0,$C$8-MAX(0,SUMPRODUCT(($C$20:$C$25&lt;=$B35-1)*($C$20:$C$25+$C$15&gt;$B35-1)*$N$20:$N$25)-SUMIFS($Y$20:$Y$25,$B$20:$B$25,"Paydown",$C$20:$C$25,"&lt;="&amp;($B35-1))/(1+$C$11))),0),IF($B35="Total",SUM(H$31:H34),""))</f>
        <v>700</v>
      </c>
      <c r="I35" s="28">
        <f>IF(ISNUMBER($B35),F35+G35+H35,IF($B35="Total",SUM(I$31:I34),""))</f>
        <v>14450</v>
      </c>
      <c r="J35" s="27" cm="1">
        <f t="array" ref="J35">IF(ISNUMBER($B35),ROUND(SUMPRODUCT($O$20:$O$25*($C$20:$C$25&lt;=$B35)*(($C$20:$C$25+$C$15-$B35)&gt;0)*($C$20:$C$25+$C$15-$B35)/$C$15*INDEX($S$20:$X$25,0,MAX(1,_xlfn.MAXIFS($L$20:$L$25,$C$20:$C$25,"&lt;="&amp;$B35,$Y$20:$Y$25,"&gt;0")))),2),"")</f>
        <v>288750</v>
      </c>
    </row>
    <row r="36" spans="2:10" x14ac:dyDescent="0.2">
      <c r="B36" s="25">
        <f>IF(ROWS($B$32:$B36)-1&lt;=($C$14+$C$15),ROWS($B$32:$B36)-1,IF(ROWS($B$32:$B36)-1=($C$14+$C$15)+1,"Total",""))</f>
        <v>4</v>
      </c>
      <c r="C36" s="26">
        <f ca="1">IF(ISNUMBER($B36),EDATE($G$8,$B36),"")</f>
        <v>46414</v>
      </c>
      <c r="D36" s="27">
        <f>IF(ISNUMBER($B36),SUMIFS($Y$20:$Y$25,$C$20:$C$25,$B36,$B$20:$B$25,"&lt;&gt;Paydown"),IF($B36="Total",SUM(D$31:D35),""))</f>
        <v>250000</v>
      </c>
      <c r="E36" s="27">
        <f>IF(ISNUMBER($B36),D36*(1-$C$12),IF($B36="Total",SUM(E$31:E35),""))</f>
        <v>245000</v>
      </c>
      <c r="F36" s="28" cm="1">
        <f t="array" ref="F36">IF(ISNUMBER($B36),SUMPRODUCT($O$20:$O$25*($B36&gt;$C$20:$C$25)*($B36&lt;=$C$20:$C$25+$C$15)*INDEX($S$20:$X$25,0,MAX(1,_xlfn.MAXIFS($L$20:$L$25,$C$20:$C$25,"&lt;="&amp;($B36-1),$Y$20:$Y$25,"&gt;0"))))/$C$15,IF($B36="Total",SUM(F$31:F35),""))</f>
        <v>13750</v>
      </c>
      <c r="G36" s="28">
        <f>IF(ISNUMBER($B36),SUMIFS($Y$20:$Y$25,$C$20:$C$25,$B36,$B$20:$B$25,"Paydown"),IF($B36="Total",SUM(G$31:G35),""))</f>
        <v>0</v>
      </c>
      <c r="H36" s="27" cm="1">
        <f t="array" ref="H36">IF(ISNUMBER($B36),IF(AND($B36&gt;=1,$B36&lt;=$C$14),$C$13*MAX(0,$C$8-MAX(0,SUMPRODUCT(($C$20:$C$25&lt;=$B36-1)*($C$20:$C$25+$C$15&gt;$B36-1)*$N$20:$N$25)-SUMIFS($Y$20:$Y$25,$B$20:$B$25,"Paydown",$C$20:$C$25,"&lt;="&amp;($B36-1))/(1+$C$11))),0),IF($B36="Total",SUM(H$31:H35),""))</f>
        <v>700</v>
      </c>
      <c r="I36" s="28">
        <f>IF(ISNUMBER($B36),F36+G36+H36,IF($B36="Total",SUM(I$31:I35),""))</f>
        <v>14450</v>
      </c>
      <c r="J36" s="27" cm="1">
        <f t="array" ref="J36">IF(ISNUMBER($B36),ROUND(SUMPRODUCT($O$20:$O$25*($C$20:$C$25&lt;=$B36)*(($C$20:$C$25+$C$15-$B36)&gt;0)*($C$20:$C$25+$C$15-$B36)/$C$15*INDEX($S$20:$X$25,0,MAX(1,_xlfn.MAXIFS($L$20:$L$25,$C$20:$C$25,"&lt;="&amp;$B36,$Y$20:$Y$25,"&gt;0")))),2),"")</f>
        <v>550000</v>
      </c>
    </row>
    <row r="37" spans="2:10" x14ac:dyDescent="0.2">
      <c r="B37" s="25">
        <f>IF(ROWS($B$32:$B37)-1&lt;=($C$14+$C$15),ROWS($B$32:$B37)-1,IF(ROWS($B$32:$B37)-1=($C$14+$C$15)+1,"Total",""))</f>
        <v>5</v>
      </c>
      <c r="C37" s="26">
        <f ca="1">IF(ISNUMBER($B37),EDATE($G$8,$B37),"")</f>
        <v>46445</v>
      </c>
      <c r="D37" s="27">
        <f>IF(ISNUMBER($B37),SUMIFS($Y$20:$Y$25,$C$20:$C$25,$B37,$B$20:$B$25,"&lt;&gt;Paydown"),IF($B37="Total",SUM(D$31:D36),""))</f>
        <v>0</v>
      </c>
      <c r="E37" s="27">
        <f>IF(ISNUMBER($B37),D37*(1-$C$12),IF($B37="Total",SUM(E$31:E36),""))</f>
        <v>0</v>
      </c>
      <c r="F37" s="28" cm="1">
        <f t="array" ref="F37">IF(ISNUMBER($B37),SUMPRODUCT($O$20:$O$25*($B37&gt;$C$20:$C$25)*($B37&lt;=$C$20:$C$25+$C$15)*INDEX($S$20:$X$25,0,MAX(1,_xlfn.MAXIFS($L$20:$L$25,$C$20:$C$25,"&lt;="&amp;($B37-1),$Y$20:$Y$25,"&gt;0"))))/$C$15,IF($B37="Total",SUM(F$31:F36),""))</f>
        <v>25208.333333333332</v>
      </c>
      <c r="G37" s="28">
        <f>IF(ISNUMBER($B37),SUMIFS($Y$20:$Y$25,$C$20:$C$25,$B37,$B$20:$B$25,"Paydown"),IF($B37="Total",SUM(G$31:G36),""))</f>
        <v>100000</v>
      </c>
      <c r="H37" s="27" cm="1">
        <f t="array" ref="H37">IF(ISNUMBER($B37),IF(AND($B37&gt;=1,$B37&lt;=$C$14),$C$13*MAX(0,$C$8-MAX(0,SUMPRODUCT(($C$20:$C$25&lt;=$B37-1)*($C$20:$C$25+$C$15&gt;$B37-1)*$N$20:$N$25)-SUMIFS($Y$20:$Y$25,$B$20:$B$25,"Paydown",$C$20:$C$25,"&lt;="&amp;($B37-1))/(1+$C$11))),0),IF($B37="Total",SUM(H$31:H36),""))</f>
        <v>450</v>
      </c>
      <c r="I37" s="28">
        <f>IF(ISNUMBER($B37),F37+G37+H37,IF($B37="Total",SUM(I$31:I36),""))</f>
        <v>125658.33333333333</v>
      </c>
      <c r="J37" s="27" cm="1">
        <f t="array" ref="J37">IF(ISNUMBER($B37),ROUND(SUMPRODUCT($O$20:$O$25*($C$20:$C$25&lt;=$B37)*(($C$20:$C$25+$C$15-$B37)&gt;0)*($C$20:$C$25+$C$15-$B37)/$C$15*INDEX($S$20:$X$25,0,MAX(1,_xlfn.MAXIFS($L$20:$L$25,$C$20:$C$25,"&lt;="&amp;$B37,$Y$20:$Y$25,"&gt;0")))),2),"")</f>
        <v>424791.67</v>
      </c>
    </row>
    <row r="38" spans="2:10" x14ac:dyDescent="0.2">
      <c r="B38" s="25">
        <f>IF(ROWS($B$32:$B38)-1&lt;=($C$14+$C$15),ROWS($B$32:$B38)-1,IF(ROWS($B$32:$B38)-1=($C$14+$C$15)+1,"Total",""))</f>
        <v>6</v>
      </c>
      <c r="C38" s="26">
        <f ca="1">IF(ISNUMBER($B38),EDATE($G$8,$B38),"")</f>
        <v>46473</v>
      </c>
      <c r="D38" s="27">
        <f>IF(ISNUMBER($B38),SUMIFS($Y$20:$Y$25,$C$20:$C$25,$B38,$B$20:$B$25,"&lt;&gt;Paydown"),IF($B38="Total",SUM(D$31:D37),""))</f>
        <v>0</v>
      </c>
      <c r="E38" s="27">
        <f>IF(ISNUMBER($B38),D38*(1-$C$12),IF($B38="Total",SUM(E$31:E37),""))</f>
        <v>0</v>
      </c>
      <c r="F38" s="28" cm="1">
        <f t="array" ref="F38">IF(ISNUMBER($B38),SUMPRODUCT($O$20:$O$25*($B38&gt;$C$20:$C$25)*($B38&lt;=$C$20:$C$25+$C$15)*INDEX($S$20:$X$25,0,MAX(1,_xlfn.MAXIFS($L$20:$L$25,$C$20:$C$25,"&lt;="&amp;($B38-1),$Y$20:$Y$25,"&gt;0"))))/$C$15,IF($B38="Total",SUM(F$31:F37),""))</f>
        <v>20404.839883551675</v>
      </c>
      <c r="G38" s="28">
        <f>IF(ISNUMBER($B38),SUMIFS($Y$20:$Y$25,$C$20:$C$25,$B38,$B$20:$B$25,"Paydown"),IF($B38="Total",SUM(G$31:G37),""))</f>
        <v>0</v>
      </c>
      <c r="H38" s="27" cm="1">
        <f t="array" ref="H38">IF(ISNUMBER($B38),IF(AND($B38&gt;=1,$B38&lt;=$C$14),$C$13*MAX(0,$C$8-MAX(0,SUMPRODUCT(($C$20:$C$25&lt;=$B38-1)*($C$20:$C$25+$C$15&gt;$B38-1)*$N$20:$N$25)-SUMIFS($Y$20:$Y$25,$B$20:$B$25,"Paydown",$C$20:$C$25,"&lt;="&amp;($B38-1))/(1+$C$11))),0),IF($B38="Total",SUM(H$31:H37),""))</f>
        <v>540.90909090909088</v>
      </c>
      <c r="I38" s="28">
        <f>IF(ISNUMBER($B38),F38+G38+H38,IF($B38="Total",SUM(I$31:I37),""))</f>
        <v>20945.748974460766</v>
      </c>
      <c r="J38" s="27" cm="1">
        <f t="array" ref="J38">IF(ISNUMBER($B38),ROUND(SUMPRODUCT($O$20:$O$25*($C$20:$C$25&lt;=$B38)*(($C$20:$C$25+$C$15-$B38)&gt;0)*($C$20:$C$25+$C$15-$B38)/$C$15*INDEX($S$20:$X$25,0,MAX(1,_xlfn.MAXIFS($L$20:$L$25,$C$20:$C$25,"&lt;="&amp;$B38,$Y$20:$Y$25,"&gt;0")))),2),"")</f>
        <v>404386.83</v>
      </c>
    </row>
    <row r="39" spans="2:10" x14ac:dyDescent="0.2">
      <c r="B39" s="25">
        <f>IF(ROWS($B$32:$B39)-1&lt;=($C$14+$C$15),ROWS($B$32:$B39)-1,IF(ROWS($B$32:$B39)-1=($C$14+$C$15)+1,"Total",""))</f>
        <v>7</v>
      </c>
      <c r="C39" s="26">
        <f ca="1">IF(ISNUMBER($B39),EDATE($G$8,$B39),"")</f>
        <v>46504</v>
      </c>
      <c r="D39" s="27">
        <f>IF(ISNUMBER($B39),SUMIFS($Y$20:$Y$25,$C$20:$C$25,$B39,$B$20:$B$25,"&lt;&gt;Paydown"),IF($B39="Total",SUM(D$31:D38),""))</f>
        <v>0</v>
      </c>
      <c r="E39" s="27">
        <f>IF(ISNUMBER($B39),D39*(1-$C$12),IF($B39="Total",SUM(E$31:E38),""))</f>
        <v>0</v>
      </c>
      <c r="F39" s="28" cm="1">
        <f t="array" ref="F39">IF(ISNUMBER($B39),SUMPRODUCT($O$20:$O$25*($B39&gt;$C$20:$C$25)*($B39&lt;=$C$20:$C$25+$C$15)*INDEX($S$20:$X$25,0,MAX(1,_xlfn.MAXIFS($L$20:$L$25,$C$20:$C$25,"&lt;="&amp;($B39-1),$Y$20:$Y$25,"&gt;0"))))/$C$15,IF($B39="Total",SUM(F$31:F38),""))</f>
        <v>20404.839883551675</v>
      </c>
      <c r="G39" s="28">
        <f>IF(ISNUMBER($B39),SUMIFS($Y$20:$Y$25,$C$20:$C$25,$B39,$B$20:$B$25,"Paydown"),IF($B39="Total",SUM(G$31:G38),""))</f>
        <v>0</v>
      </c>
      <c r="H39" s="27" cm="1">
        <f t="array" ref="H39">IF(ISNUMBER($B39),IF(AND($B39&gt;=1,$B39&lt;=$C$14),$C$13*MAX(0,$C$8-MAX(0,SUMPRODUCT(($C$20:$C$25&lt;=$B39-1)*($C$20:$C$25+$C$15&gt;$B39-1)*$N$20:$N$25)-SUMIFS($Y$20:$Y$25,$B$20:$B$25,"Paydown",$C$20:$C$25,"&lt;="&amp;($B39-1))/(1+$C$11))),0),IF($B39="Total",SUM(H$31:H38),""))</f>
        <v>540.90909090909088</v>
      </c>
      <c r="I39" s="28">
        <f>IF(ISNUMBER($B39),F39+G39+H39,IF($B39="Total",SUM(I$31:I38),""))</f>
        <v>20945.748974460766</v>
      </c>
      <c r="J39" s="27" cm="1">
        <f t="array" ref="J39">IF(ISNUMBER($B39),ROUND(SUMPRODUCT($O$20:$O$25*($C$20:$C$25&lt;=$B39)*(($C$20:$C$25+$C$15-$B39)&gt;0)*($C$20:$C$25+$C$15-$B39)/$C$15*INDEX($S$20:$X$25,0,MAX(1,_xlfn.MAXIFS($L$20:$L$25,$C$20:$C$25,"&lt;="&amp;$B39,$Y$20:$Y$25,"&gt;0")))),2),"")</f>
        <v>383981.99</v>
      </c>
    </row>
    <row r="40" spans="2:10" x14ac:dyDescent="0.2">
      <c r="B40" s="25">
        <f>IF(ROWS($B$32:$B40)-1&lt;=($C$14+$C$15),ROWS($B$32:$B40)-1,IF(ROWS($B$32:$B40)-1=($C$14+$C$15)+1,"Total",""))</f>
        <v>8</v>
      </c>
      <c r="C40" s="26">
        <f ca="1">IF(ISNUMBER($B40),EDATE($G$8,$B40),"")</f>
        <v>46534</v>
      </c>
      <c r="D40" s="27">
        <f>IF(ISNUMBER($B40),SUMIFS($Y$20:$Y$25,$C$20:$C$25,$B40,$B$20:$B$25,"&lt;&gt;Paydown"),IF($B40="Total",SUM(D$31:D39),""))</f>
        <v>0</v>
      </c>
      <c r="E40" s="27">
        <f>IF(ISNUMBER($B40),D40*(1-$C$12),IF($B40="Total",SUM(E$31:E39),""))</f>
        <v>0</v>
      </c>
      <c r="F40" s="28" cm="1">
        <f t="array" ref="F40">IF(ISNUMBER($B40),SUMPRODUCT($O$20:$O$25*($B40&gt;$C$20:$C$25)*($B40&lt;=$C$20:$C$25+$C$15)*INDEX($S$20:$X$25,0,MAX(1,_xlfn.MAXIFS($L$20:$L$25,$C$20:$C$25,"&lt;="&amp;($B40-1),$Y$20:$Y$25,"&gt;0"))))/$C$15,IF($B40="Total",SUM(F$31:F39),""))</f>
        <v>20404.839883551675</v>
      </c>
      <c r="G40" s="28">
        <f>IF(ISNUMBER($B40),SUMIFS($Y$20:$Y$25,$C$20:$C$25,$B40,$B$20:$B$25,"Paydown"),IF($B40="Total",SUM(G$31:G39),""))</f>
        <v>0</v>
      </c>
      <c r="H40" s="27" cm="1">
        <f t="array" ref="H40">IF(ISNUMBER($B40),IF(AND($B40&gt;=1,$B40&lt;=$C$14),$C$13*MAX(0,$C$8-MAX(0,SUMPRODUCT(($C$20:$C$25&lt;=$B40-1)*($C$20:$C$25+$C$15&gt;$B40-1)*$N$20:$N$25)-SUMIFS($Y$20:$Y$25,$B$20:$B$25,"Paydown",$C$20:$C$25,"&lt;="&amp;($B40-1))/(1+$C$11))),0),IF($B40="Total",SUM(H$31:H39),""))</f>
        <v>540.90909090909088</v>
      </c>
      <c r="I40" s="28">
        <f>IF(ISNUMBER($B40),F40+G40+H40,IF($B40="Total",SUM(I$31:I39),""))</f>
        <v>20945.748974460766</v>
      </c>
      <c r="J40" s="27" cm="1">
        <f t="array" ref="J40">IF(ISNUMBER($B40),ROUND(SUMPRODUCT($O$20:$O$25*($C$20:$C$25&lt;=$B40)*(($C$20:$C$25+$C$15-$B40)&gt;0)*($C$20:$C$25+$C$15-$B40)/$C$15*INDEX($S$20:$X$25,0,MAX(1,_xlfn.MAXIFS($L$20:$L$25,$C$20:$C$25,"&lt;="&amp;$B40,$Y$20:$Y$25,"&gt;0")))),2),"")</f>
        <v>363577.15</v>
      </c>
    </row>
    <row r="41" spans="2:10" x14ac:dyDescent="0.2">
      <c r="B41" s="25">
        <f>IF(ROWS($B$32:$B41)-1&lt;=($C$14+$C$15),ROWS($B$32:$B41)-1,IF(ROWS($B$32:$B41)-1=($C$14+$C$15)+1,"Total",""))</f>
        <v>9</v>
      </c>
      <c r="C41" s="26">
        <f ca="1">IF(ISNUMBER($B41),EDATE($G$8,$B41),"")</f>
        <v>46565</v>
      </c>
      <c r="D41" s="27">
        <f>IF(ISNUMBER($B41),SUMIFS($Y$20:$Y$25,$C$20:$C$25,$B41,$B$20:$B$25,"&lt;&gt;Paydown"),IF($B41="Total",SUM(D$31:D40),""))</f>
        <v>0</v>
      </c>
      <c r="E41" s="27">
        <f>IF(ISNUMBER($B41),D41*(1-$C$12),IF($B41="Total",SUM(E$31:E40),""))</f>
        <v>0</v>
      </c>
      <c r="F41" s="28" cm="1">
        <f t="array" ref="F41">IF(ISNUMBER($B41),SUMPRODUCT($O$20:$O$25*($B41&gt;$C$20:$C$25)*($B41&lt;=$C$20:$C$25+$C$15)*INDEX($S$20:$X$25,0,MAX(1,_xlfn.MAXIFS($L$20:$L$25,$C$20:$C$25,"&lt;="&amp;($B41-1),$Y$20:$Y$25,"&gt;0"))))/$C$15,IF($B41="Total",SUM(F$31:F40),""))</f>
        <v>20404.839883551675</v>
      </c>
      <c r="G41" s="28">
        <f>IF(ISNUMBER($B41),SUMIFS($Y$20:$Y$25,$C$20:$C$25,$B41,$B$20:$B$25,"Paydown"),IF($B41="Total",SUM(G$31:G40),""))</f>
        <v>150000</v>
      </c>
      <c r="H41" s="27" cm="1">
        <f t="array" ref="H41">IF(ISNUMBER($B41),IF(AND($B41&gt;=1,$B41&lt;=$C$14),$C$13*MAX(0,$C$8-MAX(0,SUMPRODUCT(($C$20:$C$25&lt;=$B41-1)*($C$20:$C$25+$C$15&gt;$B41-1)*$N$20:$N$25)-SUMIFS($Y$20:$Y$25,$B$20:$B$25,"Paydown",$C$20:$C$25,"&lt;="&amp;($B41-1))/(1+$C$11))),0),IF($B41="Total",SUM(H$31:H40),""))</f>
        <v>540.90909090909088</v>
      </c>
      <c r="I41" s="28">
        <f>IF(ISNUMBER($B41),F41+G41+H41,IF($B41="Total",SUM(I$31:I40),""))</f>
        <v>170945.74897446076</v>
      </c>
      <c r="J41" s="27" cm="1">
        <f t="array" ref="J41">IF(ISNUMBER($B41),ROUND(SUMPRODUCT($O$20:$O$25*($C$20:$C$25&lt;=$B41)*(($C$20:$C$25+$C$15-$B41)&gt;0)*($C$20:$C$25+$C$15-$B41)/$C$15*INDEX($S$20:$X$25,0,MAX(1,_xlfn.MAXIFS($L$20:$L$25,$C$20:$C$25,"&lt;="&amp;$B41,$Y$20:$Y$25,"&gt;0")))),2),"")</f>
        <v>193172.31</v>
      </c>
    </row>
    <row r="42" spans="2:10" x14ac:dyDescent="0.2">
      <c r="B42" s="25">
        <f>IF(ROWS($B$32:$B42)-1&lt;=($C$14+$C$15),ROWS($B$32:$B42)-1,IF(ROWS($B$32:$B42)-1=($C$14+$C$15)+1,"Total",""))</f>
        <v>10</v>
      </c>
      <c r="C42" s="26">
        <f ca="1">IF(ISNUMBER($B42),EDATE($G$8,$B42),"")</f>
        <v>46595</v>
      </c>
      <c r="D42" s="27">
        <f>IF(ISNUMBER($B42),SUMIFS($Y$20:$Y$25,$C$20:$C$25,$B42,$B$20:$B$25,"&lt;&gt;Paydown"),IF($B42="Total",SUM(D$31:D41),""))</f>
        <v>0</v>
      </c>
      <c r="E42" s="27">
        <f>IF(ISNUMBER($B42),D42*(1-$C$12),IF($B42="Total",SUM(E$31:E41),""))</f>
        <v>0</v>
      </c>
      <c r="F42" s="28" cm="1">
        <f t="array" ref="F42">IF(ISNUMBER($B42),SUMPRODUCT($O$20:$O$25*($B42&gt;$C$20:$C$25)*($B42&lt;=$C$20:$C$25+$C$15)*INDEX($S$20:$X$25,0,MAX(1,_xlfn.MAXIFS($L$20:$L$25,$C$20:$C$25,"&lt;="&amp;($B42-1),$Y$20:$Y$25,"&gt;0"))))/$C$15,IF($B42="Total",SUM(F$31:F41),""))</f>
        <v>11485.920964632756</v>
      </c>
      <c r="G42" s="28">
        <f>IF(ISNUMBER($B42),SUMIFS($Y$20:$Y$25,$C$20:$C$25,$B42,$B$20:$B$25,"Paydown"),IF($B42="Total",SUM(G$31:G41),""))</f>
        <v>0</v>
      </c>
      <c r="H42" s="27" cm="1">
        <f t="array" ref="H42">IF(ISNUMBER($B42),IF(AND($B42&gt;=1,$B42&lt;=$C$14),$C$13*MAX(0,$C$8-MAX(0,SUMPRODUCT(($C$20:$C$25&lt;=$B42-1)*($C$20:$C$25+$C$15&gt;$B42-1)*$N$20:$N$25)-SUMIFS($Y$20:$Y$25,$B$20:$B$25,"Paydown",$C$20:$C$25,"&lt;="&amp;($B42-1))/(1+$C$11))),0),IF($B42="Total",SUM(H$31:H41),""))</f>
        <v>677.27272727272725</v>
      </c>
      <c r="I42" s="28">
        <f>IF(ISNUMBER($B42),F42+G42+H42,IF($B42="Total",SUM(I$31:I41),""))</f>
        <v>12163.193691905484</v>
      </c>
      <c r="J42" s="27" cm="1">
        <f t="array" ref="J42">IF(ISNUMBER($B42),ROUND(SUMPRODUCT($O$20:$O$25*($C$20:$C$25&lt;=$B42)*(($C$20:$C$25+$C$15-$B42)&gt;0)*($C$20:$C$25+$C$15-$B42)/$C$15*INDEX($S$20:$X$25,0,MAX(1,_xlfn.MAXIFS($L$20:$L$25,$C$20:$C$25,"&lt;="&amp;$B42,$Y$20:$Y$25,"&gt;0")))),2),"")</f>
        <v>181686.39</v>
      </c>
    </row>
    <row r="43" spans="2:10" x14ac:dyDescent="0.2">
      <c r="B43" s="25">
        <f>IF(ROWS($B$32:$B43)-1&lt;=($C$14+$C$15),ROWS($B$32:$B43)-1,IF(ROWS($B$32:$B43)-1=($C$14+$C$15)+1,"Total",""))</f>
        <v>11</v>
      </c>
      <c r="C43" s="26">
        <f ca="1">IF(ISNUMBER($B43),EDATE($G$8,$B43),"")</f>
        <v>46626</v>
      </c>
      <c r="D43" s="27">
        <f>IF(ISNUMBER($B43),SUMIFS($Y$20:$Y$25,$C$20:$C$25,$B43,$B$20:$B$25,"&lt;&gt;Paydown"),IF($B43="Total",SUM(D$31:D42),""))</f>
        <v>250000</v>
      </c>
      <c r="E43" s="27">
        <f>IF(ISNUMBER($B43),D43*(1-$C$12),IF($B43="Total",SUM(E$31:E42),""))</f>
        <v>245000</v>
      </c>
      <c r="F43" s="28" cm="1">
        <f t="array" ref="F43">IF(ISNUMBER($B43),SUMPRODUCT($O$20:$O$25*($B43&gt;$C$20:$C$25)*($B43&lt;=$C$20:$C$25+$C$15)*INDEX($S$20:$X$25,0,MAX(1,_xlfn.MAXIFS($L$20:$L$25,$C$20:$C$25,"&lt;="&amp;($B43-1),$Y$20:$Y$25,"&gt;0"))))/$C$15,IF($B43="Total",SUM(F$31:F42),""))</f>
        <v>11485.920964632756</v>
      </c>
      <c r="G43" s="28">
        <f>IF(ISNUMBER($B43),SUMIFS($Y$20:$Y$25,$C$20:$C$25,$B43,$B$20:$B$25,"Paydown"),IF($B43="Total",SUM(G$31:G42),""))</f>
        <v>0</v>
      </c>
      <c r="H43" s="27" cm="1">
        <f t="array" ref="H43">IF(ISNUMBER($B43),IF(AND($B43&gt;=1,$B43&lt;=$C$14),$C$13*MAX(0,$C$8-MAX(0,SUMPRODUCT(($C$20:$C$25&lt;=$B43-1)*($C$20:$C$25+$C$15&gt;$B43-1)*$N$20:$N$25)-SUMIFS($Y$20:$Y$25,$B$20:$B$25,"Paydown",$C$20:$C$25,"&lt;="&amp;($B43-1))/(1+$C$11))),0),IF($B43="Total",SUM(H$31:H42),""))</f>
        <v>677.27272727272725</v>
      </c>
      <c r="I43" s="28">
        <f>IF(ISNUMBER($B43),F43+G43+H43,IF($B43="Total",SUM(I$31:I42),""))</f>
        <v>12163.193691905484</v>
      </c>
      <c r="J43" s="27" cm="1">
        <f t="array" ref="J43">IF(ISNUMBER($B43),ROUND(SUMPRODUCT($O$20:$O$25*($C$20:$C$25&lt;=$B43)*(($C$20:$C$25+$C$15-$B43)&gt;0)*($C$20:$C$25+$C$15-$B43)/$C$15*INDEX($S$20:$X$25,0,MAX(1,_xlfn.MAXIFS($L$20:$L$25,$C$20:$C$25,"&lt;="&amp;$B43,$Y$20:$Y$25,"&gt;0")))),2),"")</f>
        <v>445200.47</v>
      </c>
    </row>
    <row r="44" spans="2:10" x14ac:dyDescent="0.2">
      <c r="B44" s="25">
        <f>IF(ROWS($B$32:$B44)-1&lt;=($C$14+$C$15),ROWS($B$32:$B44)-1,IF(ROWS($B$32:$B44)-1=($C$14+$C$15)+1,"Total",""))</f>
        <v>12</v>
      </c>
      <c r="C44" s="26">
        <f ca="1">IF(ISNUMBER($B44),EDATE($G$8,$B44),"")</f>
        <v>46657</v>
      </c>
      <c r="D44" s="27">
        <f>IF(ISNUMBER($B44),SUMIFS($Y$20:$Y$25,$C$20:$C$25,$B44,$B$20:$B$25,"&lt;&gt;Paydown"),IF($B44="Total",SUM(D$31:D43),""))</f>
        <v>0</v>
      </c>
      <c r="E44" s="27">
        <f>IF(ISNUMBER($B44),D44*(1-$C$12),IF($B44="Total",SUM(E$31:E43),""))</f>
        <v>0</v>
      </c>
      <c r="F44" s="28" cm="1">
        <f t="array" ref="F44">IF(ISNUMBER($B44),SUMPRODUCT($O$20:$O$25*($B44&gt;$C$20:$C$25)*($B44&lt;=$C$20:$C$25+$C$15)*INDEX($S$20:$X$25,0,MAX(1,_xlfn.MAXIFS($L$20:$L$25,$C$20:$C$25,"&lt;="&amp;($B44-1),$Y$20:$Y$25,"&gt;0"))))/$C$15,IF($B44="Total",SUM(F$31:F43),""))</f>
        <v>22944.25429796609</v>
      </c>
      <c r="G44" s="28">
        <f>IF(ISNUMBER($B44),SUMIFS($Y$20:$Y$25,$C$20:$C$25,$B44,$B$20:$B$25,"Paydown"),IF($B44="Total",SUM(G$31:G43),""))</f>
        <v>0</v>
      </c>
      <c r="H44" s="27" cm="1">
        <f t="array" ref="H44">IF(ISNUMBER($B44),IF(AND($B44&gt;=1,$B44&lt;=$C$14),$C$13*MAX(0,$C$8-MAX(0,SUMPRODUCT(($C$20:$C$25&lt;=$B44-1)*($C$20:$C$25+$C$15&gt;$B44-1)*$N$20:$N$25)-SUMIFS($Y$20:$Y$25,$B$20:$B$25,"Paydown",$C$20:$C$25,"&lt;="&amp;($B44-1))/(1+$C$11))),0),IF($B44="Total",SUM(H$31:H43),""))</f>
        <v>427.27272727272731</v>
      </c>
      <c r="I44" s="28">
        <f>IF(ISNUMBER($B44),F44+G44+H44,IF($B44="Total",SUM(I$31:I43),""))</f>
        <v>23371.527025238818</v>
      </c>
      <c r="J44" s="27" cm="1">
        <f t="array" ref="J44">IF(ISNUMBER($B44),ROUND(SUMPRODUCT($O$20:$O$25*($C$20:$C$25&lt;=$B44)*(($C$20:$C$25+$C$15-$B44)&gt;0)*($C$20:$C$25+$C$15-$B44)/$C$15*INDEX($S$20:$X$25,0,MAX(1,_xlfn.MAXIFS($L$20:$L$25,$C$20:$C$25,"&lt;="&amp;$B44,$Y$20:$Y$25,"&gt;0")))),2),"")</f>
        <v>422256.21</v>
      </c>
    </row>
    <row r="45" spans="2:10" x14ac:dyDescent="0.2">
      <c r="B45" s="25">
        <f>IF(ROWS($B$32:$B45)-1&lt;=($C$14+$C$15),ROWS($B$32:$B45)-1,IF(ROWS($B$32:$B45)-1=($C$14+$C$15)+1,"Total",""))</f>
        <v>13</v>
      </c>
      <c r="C45" s="26">
        <f ca="1">IF(ISNUMBER($B45),EDATE($G$8,$B45),"")</f>
        <v>46687</v>
      </c>
      <c r="D45" s="27">
        <f>IF(ISNUMBER($B45),SUMIFS($Y$20:$Y$25,$C$20:$C$25,$B45,$B$20:$B$25,"&lt;&gt;Paydown"),IF($B45="Total",SUM(D$31:D44),""))</f>
        <v>0</v>
      </c>
      <c r="E45" s="27">
        <f>IF(ISNUMBER($B45),D45*(1-$C$12),IF($B45="Total",SUM(E$31:E44),""))</f>
        <v>0</v>
      </c>
      <c r="F45" s="28" cm="1">
        <f t="array" ref="F45">IF(ISNUMBER($B45),SUMPRODUCT($O$20:$O$25*($B45&gt;$C$20:$C$25)*($B45&lt;=$C$20:$C$25+$C$15)*INDEX($S$20:$X$25,0,MAX(1,_xlfn.MAXIFS($L$20:$L$25,$C$20:$C$25,"&lt;="&amp;($B45-1),$Y$20:$Y$25,"&gt;0"))))/$C$15,IF($B45="Total",SUM(F$31:F44),""))</f>
        <v>22944.25429796609</v>
      </c>
      <c r="G45" s="28">
        <f>IF(ISNUMBER($B45),SUMIFS($Y$20:$Y$25,$C$20:$C$25,$B45,$B$20:$B$25,"Paydown"),IF($B45="Total",SUM(G$31:G44),""))</f>
        <v>0</v>
      </c>
      <c r="H45" s="27" cm="1">
        <f t="array" ref="H45">IF(ISNUMBER($B45),IF(AND($B45&gt;=1,$B45&lt;=$C$14),$C$13*MAX(0,$C$8-MAX(0,SUMPRODUCT(($C$20:$C$25&lt;=$B45-1)*($C$20:$C$25+$C$15&gt;$B45-1)*$N$20:$N$25)-SUMIFS($Y$20:$Y$25,$B$20:$B$25,"Paydown",$C$20:$C$25,"&lt;="&amp;($B45-1))/(1+$C$11))),0),IF($B45="Total",SUM(H$31:H44),""))</f>
        <v>0</v>
      </c>
      <c r="I45" s="28">
        <f>IF(ISNUMBER($B45),F45+G45+H45,IF($B45="Total",SUM(I$31:I44),""))</f>
        <v>22944.25429796609</v>
      </c>
      <c r="J45" s="27" cm="1">
        <f t="array" ref="J45">IF(ISNUMBER($B45),ROUND(SUMPRODUCT($O$20:$O$25*($C$20:$C$25&lt;=$B45)*(($C$20:$C$25+$C$15-$B45)&gt;0)*($C$20:$C$25+$C$15-$B45)/$C$15*INDEX($S$20:$X$25,0,MAX(1,_xlfn.MAXIFS($L$20:$L$25,$C$20:$C$25,"&lt;="&amp;$B45,$Y$20:$Y$25,"&gt;0")))),2),"")</f>
        <v>399311.96</v>
      </c>
    </row>
    <row r="46" spans="2:10" x14ac:dyDescent="0.2">
      <c r="B46" s="25">
        <f>IF(ROWS($B$32:$B46)-1&lt;=($C$14+$C$15),ROWS($B$32:$B46)-1,IF(ROWS($B$32:$B46)-1=($C$14+$C$15)+1,"Total",""))</f>
        <v>14</v>
      </c>
      <c r="C46" s="26">
        <f ca="1">IF(ISNUMBER($B46),EDATE($G$8,$B46),"")</f>
        <v>46718</v>
      </c>
      <c r="D46" s="27">
        <f>IF(ISNUMBER($B46),SUMIFS($Y$20:$Y$25,$C$20:$C$25,$B46,$B$20:$B$25,"&lt;&gt;Paydown"),IF($B46="Total",SUM(D$31:D45),""))</f>
        <v>0</v>
      </c>
      <c r="E46" s="27">
        <f>IF(ISNUMBER($B46),D46*(1-$C$12),IF($B46="Total",SUM(E$31:E45),""))</f>
        <v>0</v>
      </c>
      <c r="F46" s="28" cm="1">
        <f t="array" ref="F46">IF(ISNUMBER($B46),SUMPRODUCT($O$20:$O$25*($B46&gt;$C$20:$C$25)*($B46&lt;=$C$20:$C$25+$C$15)*INDEX($S$20:$X$25,0,MAX(1,_xlfn.MAXIFS($L$20:$L$25,$C$20:$C$25,"&lt;="&amp;($B46-1),$Y$20:$Y$25,"&gt;0"))))/$C$15,IF($B46="Total",SUM(F$31:F45),""))</f>
        <v>22944.25429796609</v>
      </c>
      <c r="G46" s="28">
        <f>IF(ISNUMBER($B46),SUMIFS($Y$20:$Y$25,$C$20:$C$25,$B46,$B$20:$B$25,"Paydown"),IF($B46="Total",SUM(G$31:G45),""))</f>
        <v>0</v>
      </c>
      <c r="H46" s="27" cm="1">
        <f t="array" ref="H46">IF(ISNUMBER($B46),IF(AND($B46&gt;=1,$B46&lt;=$C$14),$C$13*MAX(0,$C$8-MAX(0,SUMPRODUCT(($C$20:$C$25&lt;=$B46-1)*($C$20:$C$25+$C$15&gt;$B46-1)*$N$20:$N$25)-SUMIFS($Y$20:$Y$25,$B$20:$B$25,"Paydown",$C$20:$C$25,"&lt;="&amp;($B46-1))/(1+$C$11))),0),IF($B46="Total",SUM(H$31:H45),""))</f>
        <v>0</v>
      </c>
      <c r="I46" s="28">
        <f>IF(ISNUMBER($B46),F46+G46+H46,IF($B46="Total",SUM(I$31:I45),""))</f>
        <v>22944.25429796609</v>
      </c>
      <c r="J46" s="27" cm="1">
        <f t="array" ref="J46">IF(ISNUMBER($B46),ROUND(SUMPRODUCT($O$20:$O$25*($C$20:$C$25&lt;=$B46)*(($C$20:$C$25+$C$15-$B46)&gt;0)*($C$20:$C$25+$C$15-$B46)/$C$15*INDEX($S$20:$X$25,0,MAX(1,_xlfn.MAXIFS($L$20:$L$25,$C$20:$C$25,"&lt;="&amp;$B46,$Y$20:$Y$25,"&gt;0")))),2),"")</f>
        <v>376367.7</v>
      </c>
    </row>
    <row r="47" spans="2:10" x14ac:dyDescent="0.2">
      <c r="B47" s="25">
        <f>IF(ROWS($B$32:$B47)-1&lt;=($C$14+$C$15),ROWS($B$32:$B47)-1,IF(ROWS($B$32:$B47)-1=($C$14+$C$15)+1,"Total",""))</f>
        <v>15</v>
      </c>
      <c r="C47" s="26">
        <f ca="1">IF(ISNUMBER($B47),EDATE($G$8,$B47),"")</f>
        <v>46748</v>
      </c>
      <c r="D47" s="27">
        <f>IF(ISNUMBER($B47),SUMIFS($Y$20:$Y$25,$C$20:$C$25,$B47,$B$20:$B$25,"&lt;&gt;Paydown"),IF($B47="Total",SUM(D$31:D46),""))</f>
        <v>0</v>
      </c>
      <c r="E47" s="27">
        <f>IF(ISNUMBER($B47),D47*(1-$C$12),IF($B47="Total",SUM(E$31:E46),""))</f>
        <v>0</v>
      </c>
      <c r="F47" s="28" cm="1">
        <f t="array" ref="F47">IF(ISNUMBER($B47),SUMPRODUCT($O$20:$O$25*($B47&gt;$C$20:$C$25)*($B47&lt;=$C$20:$C$25+$C$15)*INDEX($S$20:$X$25,0,MAX(1,_xlfn.MAXIFS($L$20:$L$25,$C$20:$C$25,"&lt;="&amp;($B47-1),$Y$20:$Y$25,"&gt;0"))))/$C$15,IF($B47="Total",SUM(F$31:F46),""))</f>
        <v>22944.25429796609</v>
      </c>
      <c r="G47" s="28">
        <f>IF(ISNUMBER($B47),SUMIFS($Y$20:$Y$25,$C$20:$C$25,$B47,$B$20:$B$25,"Paydown"),IF($B47="Total",SUM(G$31:G46),""))</f>
        <v>0</v>
      </c>
      <c r="H47" s="27" cm="1">
        <f t="array" ref="H47">IF(ISNUMBER($B47),IF(AND($B47&gt;=1,$B47&lt;=$C$14),$C$13*MAX(0,$C$8-MAX(0,SUMPRODUCT(($C$20:$C$25&lt;=$B47-1)*($C$20:$C$25+$C$15&gt;$B47-1)*$N$20:$N$25)-SUMIFS($Y$20:$Y$25,$B$20:$B$25,"Paydown",$C$20:$C$25,"&lt;="&amp;($B47-1))/(1+$C$11))),0),IF($B47="Total",SUM(H$31:H46),""))</f>
        <v>0</v>
      </c>
      <c r="I47" s="28">
        <f>IF(ISNUMBER($B47),F47+G47+H47,IF($B47="Total",SUM(I$31:I46),""))</f>
        <v>22944.25429796609</v>
      </c>
      <c r="J47" s="27" cm="1">
        <f t="array" ref="J47">IF(ISNUMBER($B47),ROUND(SUMPRODUCT($O$20:$O$25*($C$20:$C$25&lt;=$B47)*(($C$20:$C$25+$C$15-$B47)&gt;0)*($C$20:$C$25+$C$15-$B47)/$C$15*INDEX($S$20:$X$25,0,MAX(1,_xlfn.MAXIFS($L$20:$L$25,$C$20:$C$25,"&lt;="&amp;$B47,$Y$20:$Y$25,"&gt;0")))),2),"")</f>
        <v>353423.45</v>
      </c>
    </row>
    <row r="48" spans="2:10" x14ac:dyDescent="0.2">
      <c r="B48" s="25">
        <f>IF(ROWS($B$32:$B48)-1&lt;=($C$14+$C$15),ROWS($B$32:$B48)-1,IF(ROWS($B$32:$B48)-1=($C$14+$C$15)+1,"Total",""))</f>
        <v>16</v>
      </c>
      <c r="C48" s="26">
        <f ca="1">IF(ISNUMBER($B48),EDATE($G$8,$B48),"")</f>
        <v>46779</v>
      </c>
      <c r="D48" s="27">
        <f>IF(ISNUMBER($B48),SUMIFS($Y$20:$Y$25,$C$20:$C$25,$B48,$B$20:$B$25,"&lt;&gt;Paydown"),IF($B48="Total",SUM(D$31:D47),""))</f>
        <v>0</v>
      </c>
      <c r="E48" s="27">
        <f>IF(ISNUMBER($B48),D48*(1-$C$12),IF($B48="Total",SUM(E$31:E47),""))</f>
        <v>0</v>
      </c>
      <c r="F48" s="28" cm="1">
        <f t="array" ref="F48">IF(ISNUMBER($B48),SUMPRODUCT($O$20:$O$25*($B48&gt;$C$20:$C$25)*($B48&lt;=$C$20:$C$25+$C$15)*INDEX($S$20:$X$25,0,MAX(1,_xlfn.MAXIFS($L$20:$L$25,$C$20:$C$25,"&lt;="&amp;($B48-1),$Y$20:$Y$25,"&gt;0"))))/$C$15,IF($B48="Total",SUM(F$31:F47),""))</f>
        <v>22944.25429796609</v>
      </c>
      <c r="G48" s="28">
        <f>IF(ISNUMBER($B48),SUMIFS($Y$20:$Y$25,$C$20:$C$25,$B48,$B$20:$B$25,"Paydown"),IF($B48="Total",SUM(G$31:G47),""))</f>
        <v>0</v>
      </c>
      <c r="H48" s="27" cm="1">
        <f t="array" ref="H48">IF(ISNUMBER($B48),IF(AND($B48&gt;=1,$B48&lt;=$C$14),$C$13*MAX(0,$C$8-MAX(0,SUMPRODUCT(($C$20:$C$25&lt;=$B48-1)*($C$20:$C$25+$C$15&gt;$B48-1)*$N$20:$N$25)-SUMIFS($Y$20:$Y$25,$B$20:$B$25,"Paydown",$C$20:$C$25,"&lt;="&amp;($B48-1))/(1+$C$11))),0),IF($B48="Total",SUM(H$31:H47),""))</f>
        <v>0</v>
      </c>
      <c r="I48" s="28">
        <f>IF(ISNUMBER($B48),F48+G48+H48,IF($B48="Total",SUM(I$31:I47),""))</f>
        <v>22944.25429796609</v>
      </c>
      <c r="J48" s="27" cm="1">
        <f t="array" ref="J48">IF(ISNUMBER($B48),ROUND(SUMPRODUCT($O$20:$O$25*($C$20:$C$25&lt;=$B48)*(($C$20:$C$25+$C$15-$B48)&gt;0)*($C$20:$C$25+$C$15-$B48)/$C$15*INDEX($S$20:$X$25,0,MAX(1,_xlfn.MAXIFS($L$20:$L$25,$C$20:$C$25,"&lt;="&amp;$B48,$Y$20:$Y$25,"&gt;0")))),2),"")</f>
        <v>330479.19</v>
      </c>
    </row>
    <row r="49" spans="2:10" x14ac:dyDescent="0.2">
      <c r="B49" s="25">
        <f>IF(ROWS($B$32:$B49)-1&lt;=($C$14+$C$15),ROWS($B$32:$B49)-1,IF(ROWS($B$32:$B49)-1=($C$14+$C$15)+1,"Total",""))</f>
        <v>17</v>
      </c>
      <c r="C49" s="26">
        <f ca="1">IF(ISNUMBER($B49),EDATE($G$8,$B49),"")</f>
        <v>46810</v>
      </c>
      <c r="D49" s="27">
        <f>IF(ISNUMBER($B49),SUMIFS($Y$20:$Y$25,$C$20:$C$25,$B49,$B$20:$B$25,"&lt;&gt;Paydown"),IF($B49="Total",SUM(D$31:D48),""))</f>
        <v>0</v>
      </c>
      <c r="E49" s="27">
        <f>IF(ISNUMBER($B49),D49*(1-$C$12),IF($B49="Total",SUM(E$31:E48),""))</f>
        <v>0</v>
      </c>
      <c r="F49" s="28" cm="1">
        <f t="array" ref="F49">IF(ISNUMBER($B49),SUMPRODUCT($O$20:$O$25*($B49&gt;$C$20:$C$25)*($B49&lt;=$C$20:$C$25+$C$15)*INDEX($S$20:$X$25,0,MAX(1,_xlfn.MAXIFS($L$20:$L$25,$C$20:$C$25,"&lt;="&amp;($B49-1),$Y$20:$Y$25,"&gt;0"))))/$C$15,IF($B49="Total",SUM(F$31:F48),""))</f>
        <v>22944.25429796609</v>
      </c>
      <c r="G49" s="28">
        <f>IF(ISNUMBER($B49),SUMIFS($Y$20:$Y$25,$C$20:$C$25,$B49,$B$20:$B$25,"Paydown"),IF($B49="Total",SUM(G$31:G48),""))</f>
        <v>0</v>
      </c>
      <c r="H49" s="27" cm="1">
        <f t="array" ref="H49">IF(ISNUMBER($B49),IF(AND($B49&gt;=1,$B49&lt;=$C$14),$C$13*MAX(0,$C$8-MAX(0,SUMPRODUCT(($C$20:$C$25&lt;=$B49-1)*($C$20:$C$25+$C$15&gt;$B49-1)*$N$20:$N$25)-SUMIFS($Y$20:$Y$25,$B$20:$B$25,"Paydown",$C$20:$C$25,"&lt;="&amp;($B49-1))/(1+$C$11))),0),IF($B49="Total",SUM(H$31:H48),""))</f>
        <v>0</v>
      </c>
      <c r="I49" s="28">
        <f>IF(ISNUMBER($B49),F49+G49+H49,IF($B49="Total",SUM(I$31:I48),""))</f>
        <v>22944.25429796609</v>
      </c>
      <c r="J49" s="27" cm="1">
        <f t="array" ref="J49">IF(ISNUMBER($B49),ROUND(SUMPRODUCT($O$20:$O$25*($C$20:$C$25&lt;=$B49)*(($C$20:$C$25+$C$15-$B49)&gt;0)*($C$20:$C$25+$C$15-$B49)/$C$15*INDEX($S$20:$X$25,0,MAX(1,_xlfn.MAXIFS($L$20:$L$25,$C$20:$C$25,"&lt;="&amp;$B49,$Y$20:$Y$25,"&gt;0")))),2),"")</f>
        <v>307534.94</v>
      </c>
    </row>
    <row r="50" spans="2:10" x14ac:dyDescent="0.2">
      <c r="B50" s="25">
        <f>IF(ROWS($B$32:$B50)-1&lt;=($C$14+$C$15),ROWS($B$32:$B50)-1,IF(ROWS($B$32:$B50)-1=($C$14+$C$15)+1,"Total",""))</f>
        <v>18</v>
      </c>
      <c r="C50" s="26">
        <f ca="1">IF(ISNUMBER($B50),EDATE($G$8,$B50),"")</f>
        <v>46839</v>
      </c>
      <c r="D50" s="27">
        <f>IF(ISNUMBER($B50),SUMIFS($Y$20:$Y$25,$C$20:$C$25,$B50,$B$20:$B$25,"&lt;&gt;Paydown"),IF($B50="Total",SUM(D$31:D49),""))</f>
        <v>0</v>
      </c>
      <c r="E50" s="27">
        <f>IF(ISNUMBER($B50),D50*(1-$C$12),IF($B50="Total",SUM(E$31:E49),""))</f>
        <v>0</v>
      </c>
      <c r="F50" s="28" cm="1">
        <f t="array" ref="F50">IF(ISNUMBER($B50),SUMPRODUCT($O$20:$O$25*($B50&gt;$C$20:$C$25)*($B50&lt;=$C$20:$C$25+$C$15)*INDEX($S$20:$X$25,0,MAX(1,_xlfn.MAXIFS($L$20:$L$25,$C$20:$C$25,"&lt;="&amp;($B50-1),$Y$20:$Y$25,"&gt;0"))))/$C$15,IF($B50="Total",SUM(F$31:F49),""))</f>
        <v>22944.25429796609</v>
      </c>
      <c r="G50" s="28">
        <f>IF(ISNUMBER($B50),SUMIFS($Y$20:$Y$25,$C$20:$C$25,$B50,$B$20:$B$25,"Paydown"),IF($B50="Total",SUM(G$31:G49),""))</f>
        <v>0</v>
      </c>
      <c r="H50" s="27" cm="1">
        <f t="array" ref="H50">IF(ISNUMBER($B50),IF(AND($B50&gt;=1,$B50&lt;=$C$14),$C$13*MAX(0,$C$8-MAX(0,SUMPRODUCT(($C$20:$C$25&lt;=$B50-1)*($C$20:$C$25+$C$15&gt;$B50-1)*$N$20:$N$25)-SUMIFS($Y$20:$Y$25,$B$20:$B$25,"Paydown",$C$20:$C$25,"&lt;="&amp;($B50-1))/(1+$C$11))),0),IF($B50="Total",SUM(H$31:H49),""))</f>
        <v>0</v>
      </c>
      <c r="I50" s="28">
        <f>IF(ISNUMBER($B50),F50+G50+H50,IF($B50="Total",SUM(I$31:I49),""))</f>
        <v>22944.25429796609</v>
      </c>
      <c r="J50" s="27" cm="1">
        <f t="array" ref="J50">IF(ISNUMBER($B50),ROUND(SUMPRODUCT($O$20:$O$25*($C$20:$C$25&lt;=$B50)*(($C$20:$C$25+$C$15-$B50)&gt;0)*($C$20:$C$25+$C$15-$B50)/$C$15*INDEX($S$20:$X$25,0,MAX(1,_xlfn.MAXIFS($L$20:$L$25,$C$20:$C$25,"&lt;="&amp;$B50,$Y$20:$Y$25,"&gt;0")))),2),"")</f>
        <v>284590.69</v>
      </c>
    </row>
    <row r="51" spans="2:10" x14ac:dyDescent="0.2">
      <c r="B51" s="25">
        <f>IF(ROWS($B$32:$B51)-1&lt;=($C$14+$C$15),ROWS($B$32:$B51)-1,IF(ROWS($B$32:$B51)-1=($C$14+$C$15)+1,"Total",""))</f>
        <v>19</v>
      </c>
      <c r="C51" s="26">
        <f ca="1">IF(ISNUMBER($B51),EDATE($G$8,$B51),"")</f>
        <v>46870</v>
      </c>
      <c r="D51" s="27">
        <f>IF(ISNUMBER($B51),SUMIFS($Y$20:$Y$25,$C$20:$C$25,$B51,$B$20:$B$25,"&lt;&gt;Paydown"),IF($B51="Total",SUM(D$31:D50),""))</f>
        <v>0</v>
      </c>
      <c r="E51" s="27">
        <f>IF(ISNUMBER($B51),D51*(1-$C$12),IF($B51="Total",SUM(E$31:E50),""))</f>
        <v>0</v>
      </c>
      <c r="F51" s="28" cm="1">
        <f t="array" ref="F51">IF(ISNUMBER($B51),SUMPRODUCT($O$20:$O$25*($B51&gt;$C$20:$C$25)*($B51&lt;=$C$20:$C$25+$C$15)*INDEX($S$20:$X$25,0,MAX(1,_xlfn.MAXIFS($L$20:$L$25,$C$20:$C$25,"&lt;="&amp;($B51-1),$Y$20:$Y$25,"&gt;0"))))/$C$15,IF($B51="Total",SUM(F$31:F50),""))</f>
        <v>22944.25429796609</v>
      </c>
      <c r="G51" s="28">
        <f>IF(ISNUMBER($B51),SUMIFS($Y$20:$Y$25,$C$20:$C$25,$B51,$B$20:$B$25,"Paydown"),IF($B51="Total",SUM(G$31:G50),""))</f>
        <v>0</v>
      </c>
      <c r="H51" s="27" cm="1">
        <f t="array" ref="H51">IF(ISNUMBER($B51),IF(AND($B51&gt;=1,$B51&lt;=$C$14),$C$13*MAX(0,$C$8-MAX(0,SUMPRODUCT(($C$20:$C$25&lt;=$B51-1)*($C$20:$C$25+$C$15&gt;$B51-1)*$N$20:$N$25)-SUMIFS($Y$20:$Y$25,$B$20:$B$25,"Paydown",$C$20:$C$25,"&lt;="&amp;($B51-1))/(1+$C$11))),0),IF($B51="Total",SUM(H$31:H50),""))</f>
        <v>0</v>
      </c>
      <c r="I51" s="28">
        <f>IF(ISNUMBER($B51),F51+G51+H51,IF($B51="Total",SUM(I$31:I50),""))</f>
        <v>22944.25429796609</v>
      </c>
      <c r="J51" s="27" cm="1">
        <f t="array" ref="J51">IF(ISNUMBER($B51),ROUND(SUMPRODUCT($O$20:$O$25*($C$20:$C$25&lt;=$B51)*(($C$20:$C$25+$C$15-$B51)&gt;0)*($C$20:$C$25+$C$15-$B51)/$C$15*INDEX($S$20:$X$25,0,MAX(1,_xlfn.MAXIFS($L$20:$L$25,$C$20:$C$25,"&lt;="&amp;$B51,$Y$20:$Y$25,"&gt;0")))),2),"")</f>
        <v>261646.43</v>
      </c>
    </row>
    <row r="52" spans="2:10" x14ac:dyDescent="0.2">
      <c r="B52" s="25">
        <f>IF(ROWS($B$32:$B52)-1&lt;=($C$14+$C$15),ROWS($B$32:$B52)-1,IF(ROWS($B$32:$B52)-1=($C$14+$C$15)+1,"Total",""))</f>
        <v>20</v>
      </c>
      <c r="C52" s="26">
        <f ca="1">IF(ISNUMBER($B52),EDATE($G$8,$B52),"")</f>
        <v>46900</v>
      </c>
      <c r="D52" s="27">
        <f>IF(ISNUMBER($B52),SUMIFS($Y$20:$Y$25,$C$20:$C$25,$B52,$B$20:$B$25,"&lt;&gt;Paydown"),IF($B52="Total",SUM(D$31:D51),""))</f>
        <v>0</v>
      </c>
      <c r="E52" s="27">
        <f>IF(ISNUMBER($B52),D52*(1-$C$12),IF($B52="Total",SUM(E$31:E51),""))</f>
        <v>0</v>
      </c>
      <c r="F52" s="28" cm="1">
        <f t="array" ref="F52">IF(ISNUMBER($B52),SUMPRODUCT($O$20:$O$25*($B52&gt;$C$20:$C$25)*($B52&lt;=$C$20:$C$25+$C$15)*INDEX($S$20:$X$25,0,MAX(1,_xlfn.MAXIFS($L$20:$L$25,$C$20:$C$25,"&lt;="&amp;($B52-1),$Y$20:$Y$25,"&gt;0"))))/$C$15,IF($B52="Total",SUM(F$31:F51),""))</f>
        <v>22944.25429796609</v>
      </c>
      <c r="G52" s="28">
        <f>IF(ISNUMBER($B52),SUMIFS($Y$20:$Y$25,$C$20:$C$25,$B52,$B$20:$B$25,"Paydown"),IF($B52="Total",SUM(G$31:G51),""))</f>
        <v>0</v>
      </c>
      <c r="H52" s="27" cm="1">
        <f t="array" ref="H52">IF(ISNUMBER($B52),IF(AND($B52&gt;=1,$B52&lt;=$C$14),$C$13*MAX(0,$C$8-MAX(0,SUMPRODUCT(($C$20:$C$25&lt;=$B52-1)*($C$20:$C$25+$C$15&gt;$B52-1)*$N$20:$N$25)-SUMIFS($Y$20:$Y$25,$B$20:$B$25,"Paydown",$C$20:$C$25,"&lt;="&amp;($B52-1))/(1+$C$11))),0),IF($B52="Total",SUM(H$31:H51),""))</f>
        <v>0</v>
      </c>
      <c r="I52" s="28">
        <f>IF(ISNUMBER($B52),F52+G52+H52,IF($B52="Total",SUM(I$31:I51),""))</f>
        <v>22944.25429796609</v>
      </c>
      <c r="J52" s="27" cm="1">
        <f t="array" ref="J52">IF(ISNUMBER($B52),ROUND(SUMPRODUCT($O$20:$O$25*($C$20:$C$25&lt;=$B52)*(($C$20:$C$25+$C$15-$B52)&gt;0)*($C$20:$C$25+$C$15-$B52)/$C$15*INDEX($S$20:$X$25,0,MAX(1,_xlfn.MAXIFS($L$20:$L$25,$C$20:$C$25,"&lt;="&amp;$B52,$Y$20:$Y$25,"&gt;0")))),2),"")</f>
        <v>238702.18</v>
      </c>
    </row>
    <row r="53" spans="2:10" x14ac:dyDescent="0.2">
      <c r="B53" s="25">
        <f>IF(ROWS($B$32:$B53)-1&lt;=($C$14+$C$15),ROWS($B$32:$B53)-1,IF(ROWS($B$32:$B53)-1=($C$14+$C$15)+1,"Total",""))</f>
        <v>21</v>
      </c>
      <c r="C53" s="26">
        <f ca="1">IF(ISNUMBER($B53),EDATE($G$8,$B53),"")</f>
        <v>46931</v>
      </c>
      <c r="D53" s="27">
        <f>IF(ISNUMBER($B53),SUMIFS($Y$20:$Y$25,$C$20:$C$25,$B53,$B$20:$B$25,"&lt;&gt;Paydown"),IF($B53="Total",SUM(D$31:D52),""))</f>
        <v>0</v>
      </c>
      <c r="E53" s="27">
        <f>IF(ISNUMBER($B53),D53*(1-$C$12),IF($B53="Total",SUM(E$31:E52),""))</f>
        <v>0</v>
      </c>
      <c r="F53" s="28" cm="1">
        <f t="array" ref="F53">IF(ISNUMBER($B53),SUMPRODUCT($O$20:$O$25*($B53&gt;$C$20:$C$25)*($B53&lt;=$C$20:$C$25+$C$15)*INDEX($S$20:$X$25,0,MAX(1,_xlfn.MAXIFS($L$20:$L$25,$C$20:$C$25,"&lt;="&amp;($B53-1),$Y$20:$Y$25,"&gt;0"))))/$C$15,IF($B53="Total",SUM(F$31:F52),""))</f>
        <v>22944.25429796609</v>
      </c>
      <c r="G53" s="28">
        <f>IF(ISNUMBER($B53),SUMIFS($Y$20:$Y$25,$C$20:$C$25,$B53,$B$20:$B$25,"Paydown"),IF($B53="Total",SUM(G$31:G52),""))</f>
        <v>0</v>
      </c>
      <c r="H53" s="27" cm="1">
        <f t="array" ref="H53">IF(ISNUMBER($B53),IF(AND($B53&gt;=1,$B53&lt;=$C$14),$C$13*MAX(0,$C$8-MAX(0,SUMPRODUCT(($C$20:$C$25&lt;=$B53-1)*($C$20:$C$25+$C$15&gt;$B53-1)*$N$20:$N$25)-SUMIFS($Y$20:$Y$25,$B$20:$B$25,"Paydown",$C$20:$C$25,"&lt;="&amp;($B53-1))/(1+$C$11))),0),IF($B53="Total",SUM(H$31:H52),""))</f>
        <v>0</v>
      </c>
      <c r="I53" s="28">
        <f>IF(ISNUMBER($B53),F53+G53+H53,IF($B53="Total",SUM(I$31:I52),""))</f>
        <v>22944.25429796609</v>
      </c>
      <c r="J53" s="27" cm="1">
        <f t="array" ref="J53">IF(ISNUMBER($B53),ROUND(SUMPRODUCT($O$20:$O$25*($C$20:$C$25&lt;=$B53)*(($C$20:$C$25+$C$15-$B53)&gt;0)*($C$20:$C$25+$C$15-$B53)/$C$15*INDEX($S$20:$X$25,0,MAX(1,_xlfn.MAXIFS($L$20:$L$25,$C$20:$C$25,"&lt;="&amp;$B53,$Y$20:$Y$25,"&gt;0")))),2),"")</f>
        <v>215757.92</v>
      </c>
    </row>
    <row r="54" spans="2:10" x14ac:dyDescent="0.2">
      <c r="B54" s="25">
        <f>IF(ROWS($B$32:$B54)-1&lt;=($C$14+$C$15),ROWS($B$32:$B54)-1,IF(ROWS($B$32:$B54)-1=($C$14+$C$15)+1,"Total",""))</f>
        <v>22</v>
      </c>
      <c r="C54" s="26">
        <f ca="1">IF(ISNUMBER($B54),EDATE($G$8,$B54),"")</f>
        <v>46961</v>
      </c>
      <c r="D54" s="27">
        <f>IF(ISNUMBER($B54),SUMIFS($Y$20:$Y$25,$C$20:$C$25,$B54,$B$20:$B$25,"&lt;&gt;Paydown"),IF($B54="Total",SUM(D$31:D53),""))</f>
        <v>0</v>
      </c>
      <c r="E54" s="27">
        <f>IF(ISNUMBER($B54),D54*(1-$C$12),IF($B54="Total",SUM(E$31:E53),""))</f>
        <v>0</v>
      </c>
      <c r="F54" s="28" cm="1">
        <f t="array" ref="F54">IF(ISNUMBER($B54),SUMPRODUCT($O$20:$O$25*($B54&gt;$C$20:$C$25)*($B54&lt;=$C$20:$C$25+$C$15)*INDEX($S$20:$X$25,0,MAX(1,_xlfn.MAXIFS($L$20:$L$25,$C$20:$C$25,"&lt;="&amp;($B54-1),$Y$20:$Y$25,"&gt;0"))))/$C$15,IF($B54="Total",SUM(F$31:F53),""))</f>
        <v>22944.25429796609</v>
      </c>
      <c r="G54" s="28">
        <f>IF(ISNUMBER($B54),SUMIFS($Y$20:$Y$25,$C$20:$C$25,$B54,$B$20:$B$25,"Paydown"),IF($B54="Total",SUM(G$31:G53),""))</f>
        <v>0</v>
      </c>
      <c r="H54" s="27" cm="1">
        <f t="array" ref="H54">IF(ISNUMBER($B54),IF(AND($B54&gt;=1,$B54&lt;=$C$14),$C$13*MAX(0,$C$8-MAX(0,SUMPRODUCT(($C$20:$C$25&lt;=$B54-1)*($C$20:$C$25+$C$15&gt;$B54-1)*$N$20:$N$25)-SUMIFS($Y$20:$Y$25,$B$20:$B$25,"Paydown",$C$20:$C$25,"&lt;="&amp;($B54-1))/(1+$C$11))),0),IF($B54="Total",SUM(H$31:H53),""))</f>
        <v>0</v>
      </c>
      <c r="I54" s="28">
        <f>IF(ISNUMBER($B54),F54+G54+H54,IF($B54="Total",SUM(I$31:I53),""))</f>
        <v>22944.25429796609</v>
      </c>
      <c r="J54" s="27" cm="1">
        <f t="array" ref="J54">IF(ISNUMBER($B54),ROUND(SUMPRODUCT($O$20:$O$25*($C$20:$C$25&lt;=$B54)*(($C$20:$C$25+$C$15-$B54)&gt;0)*($C$20:$C$25+$C$15-$B54)/$C$15*INDEX($S$20:$X$25,0,MAX(1,_xlfn.MAXIFS($L$20:$L$25,$C$20:$C$25,"&lt;="&amp;$B54,$Y$20:$Y$25,"&gt;0")))),2),"")</f>
        <v>192813.67</v>
      </c>
    </row>
    <row r="55" spans="2:10" x14ac:dyDescent="0.2">
      <c r="B55" s="25">
        <f>IF(ROWS($B$32:$B55)-1&lt;=($C$14+$C$15),ROWS($B$32:$B55)-1,IF(ROWS($B$32:$B55)-1=($C$14+$C$15)+1,"Total",""))</f>
        <v>23</v>
      </c>
      <c r="C55" s="26">
        <f ca="1">IF(ISNUMBER($B55),EDATE($G$8,$B55),"")</f>
        <v>46992</v>
      </c>
      <c r="D55" s="27">
        <f>IF(ISNUMBER($B55),SUMIFS($Y$20:$Y$25,$C$20:$C$25,$B55,$B$20:$B$25,"&lt;&gt;Paydown"),IF($B55="Total",SUM(D$31:D54),""))</f>
        <v>0</v>
      </c>
      <c r="E55" s="27">
        <f>IF(ISNUMBER($B55),D55*(1-$C$12),IF($B55="Total",SUM(E$31:E54),""))</f>
        <v>0</v>
      </c>
      <c r="F55" s="28" cm="1">
        <f t="array" ref="F55">IF(ISNUMBER($B55),SUMPRODUCT($O$20:$O$25*($B55&gt;$C$20:$C$25)*($B55&lt;=$C$20:$C$25+$C$15)*INDEX($S$20:$X$25,0,MAX(1,_xlfn.MAXIFS($L$20:$L$25,$C$20:$C$25,"&lt;="&amp;($B55-1),$Y$20:$Y$25,"&gt;0"))))/$C$15,IF($B55="Total",SUM(F$31:F54),""))</f>
        <v>22944.25429796609</v>
      </c>
      <c r="G55" s="28">
        <f>IF(ISNUMBER($B55),SUMIFS($Y$20:$Y$25,$C$20:$C$25,$B55,$B$20:$B$25,"Paydown"),IF($B55="Total",SUM(G$31:G54),""))</f>
        <v>0</v>
      </c>
      <c r="H55" s="27" cm="1">
        <f t="array" ref="H55">IF(ISNUMBER($B55),IF(AND($B55&gt;=1,$B55&lt;=$C$14),$C$13*MAX(0,$C$8-MAX(0,SUMPRODUCT(($C$20:$C$25&lt;=$B55-1)*($C$20:$C$25+$C$15&gt;$B55-1)*$N$20:$N$25)-SUMIFS($Y$20:$Y$25,$B$20:$B$25,"Paydown",$C$20:$C$25,"&lt;="&amp;($B55-1))/(1+$C$11))),0),IF($B55="Total",SUM(H$31:H54),""))</f>
        <v>0</v>
      </c>
      <c r="I55" s="28">
        <f>IF(ISNUMBER($B55),F55+G55+H55,IF($B55="Total",SUM(I$31:I54),""))</f>
        <v>22944.25429796609</v>
      </c>
      <c r="J55" s="27" cm="1">
        <f t="array" ref="J55">IF(ISNUMBER($B55),ROUND(SUMPRODUCT($O$20:$O$25*($C$20:$C$25&lt;=$B55)*(($C$20:$C$25+$C$15-$B55)&gt;0)*($C$20:$C$25+$C$15-$B55)/$C$15*INDEX($S$20:$X$25,0,MAX(1,_xlfn.MAXIFS($L$20:$L$25,$C$20:$C$25,"&lt;="&amp;$B55,$Y$20:$Y$25,"&gt;0")))),2),"")</f>
        <v>169869.41</v>
      </c>
    </row>
    <row r="56" spans="2:10" x14ac:dyDescent="0.2">
      <c r="B56" s="25">
        <f>IF(ROWS($B$32:$B56)-1&lt;=($C$14+$C$15),ROWS($B$32:$B56)-1,IF(ROWS($B$32:$B56)-1=($C$14+$C$15)+1,"Total",""))</f>
        <v>24</v>
      </c>
      <c r="C56" s="26">
        <f ca="1">IF(ISNUMBER($B56),EDATE($G$8,$B56),"")</f>
        <v>47023</v>
      </c>
      <c r="D56" s="27">
        <f>IF(ISNUMBER($B56),SUMIFS($Y$20:$Y$25,$C$20:$C$25,$B56,$B$20:$B$25,"&lt;&gt;Paydown"),IF($B56="Total",SUM(D$31:D55),""))</f>
        <v>0</v>
      </c>
      <c r="E56" s="27">
        <f>IF(ISNUMBER($B56),D56*(1-$C$12),IF($B56="Total",SUM(E$31:E55),""))</f>
        <v>0</v>
      </c>
      <c r="F56" s="28" cm="1">
        <f t="array" ref="F56">IF(ISNUMBER($B56),SUMPRODUCT($O$20:$O$25*($B56&gt;$C$20:$C$25)*($B56&lt;=$C$20:$C$25+$C$15)*INDEX($S$20:$X$25,0,MAX(1,_xlfn.MAXIFS($L$20:$L$25,$C$20:$C$25,"&lt;="&amp;($B56-1),$Y$20:$Y$25,"&gt;0"))))/$C$15,IF($B56="Total",SUM(F$31:F55),""))</f>
        <v>22944.25429796609</v>
      </c>
      <c r="G56" s="28">
        <f>IF(ISNUMBER($B56),SUMIFS($Y$20:$Y$25,$C$20:$C$25,$B56,$B$20:$B$25,"Paydown"),IF($B56="Total",SUM(G$31:G55),""))</f>
        <v>0</v>
      </c>
      <c r="H56" s="27" cm="1">
        <f t="array" ref="H56">IF(ISNUMBER($B56),IF(AND($B56&gt;=1,$B56&lt;=$C$14),$C$13*MAX(0,$C$8-MAX(0,SUMPRODUCT(($C$20:$C$25&lt;=$B56-1)*($C$20:$C$25+$C$15&gt;$B56-1)*$N$20:$N$25)-SUMIFS($Y$20:$Y$25,$B$20:$B$25,"Paydown",$C$20:$C$25,"&lt;="&amp;($B56-1))/(1+$C$11))),0),IF($B56="Total",SUM(H$31:H55),""))</f>
        <v>0</v>
      </c>
      <c r="I56" s="28">
        <f>IF(ISNUMBER($B56),F56+G56+H56,IF($B56="Total",SUM(I$31:I55),""))</f>
        <v>22944.25429796609</v>
      </c>
      <c r="J56" s="27" cm="1">
        <f t="array" ref="J56">IF(ISNUMBER($B56),ROUND(SUMPRODUCT($O$20:$O$25*($C$20:$C$25&lt;=$B56)*(($C$20:$C$25+$C$15-$B56)&gt;0)*($C$20:$C$25+$C$15-$B56)/$C$15*INDEX($S$20:$X$25,0,MAX(1,_xlfn.MAXIFS($L$20:$L$25,$C$20:$C$25,"&lt;="&amp;$B56,$Y$20:$Y$25,"&gt;0")))),2),"")</f>
        <v>146925.16</v>
      </c>
    </row>
    <row r="57" spans="2:10" x14ac:dyDescent="0.2">
      <c r="B57" s="25">
        <f>IF(ROWS($B$32:$B57)-1&lt;=($C$14+$C$15),ROWS($B$32:$B57)-1,IF(ROWS($B$32:$B57)-1=($C$14+$C$15)+1,"Total",""))</f>
        <v>25</v>
      </c>
      <c r="C57" s="26">
        <f ca="1">IF(ISNUMBER($B57),EDATE($G$8,$B57),"")</f>
        <v>47053</v>
      </c>
      <c r="D57" s="27">
        <f>IF(ISNUMBER($B57),SUMIFS($Y$20:$Y$25,$C$20:$C$25,$B57,$B$20:$B$25,"&lt;&gt;Paydown"),IF($B57="Total",SUM(D$31:D56),""))</f>
        <v>0</v>
      </c>
      <c r="E57" s="27">
        <f>IF(ISNUMBER($B57),D57*(1-$C$12),IF($B57="Total",SUM(E$31:E56),""))</f>
        <v>0</v>
      </c>
      <c r="F57" s="28" cm="1">
        <f t="array" ref="F57">IF(ISNUMBER($B57),SUMPRODUCT($O$20:$O$25*($B57&gt;$C$20:$C$25)*($B57&lt;=$C$20:$C$25+$C$15)*INDEX($S$20:$X$25,0,MAX(1,_xlfn.MAXIFS($L$20:$L$25,$C$20:$C$25,"&lt;="&amp;($B57-1),$Y$20:$Y$25,"&gt;0"))))/$C$15,IF($B57="Total",SUM(F$31:F56),""))</f>
        <v>16679.206499075495</v>
      </c>
      <c r="G57" s="28">
        <f>IF(ISNUMBER($B57),SUMIFS($Y$20:$Y$25,$C$20:$C$25,$B57,$B$20:$B$25,"Paydown"),IF($B57="Total",SUM(G$31:G56),""))</f>
        <v>0</v>
      </c>
      <c r="H57" s="27" cm="1">
        <f t="array" ref="H57">IF(ISNUMBER($B57),IF(AND($B57&gt;=1,$B57&lt;=$C$14),$C$13*MAX(0,$C$8-MAX(0,SUMPRODUCT(($C$20:$C$25&lt;=$B57-1)*($C$20:$C$25+$C$15&gt;$B57-1)*$N$20:$N$25)-SUMIFS($Y$20:$Y$25,$B$20:$B$25,"Paydown",$C$20:$C$25,"&lt;="&amp;($B57-1))/(1+$C$11))),0),IF($B57="Total",SUM(H$31:H56),""))</f>
        <v>0</v>
      </c>
      <c r="I57" s="28">
        <f>IF(ISNUMBER($B57),F57+G57+H57,IF($B57="Total",SUM(I$31:I56),""))</f>
        <v>16679.206499075495</v>
      </c>
      <c r="J57" s="27" cm="1">
        <f t="array" ref="J57">IF(ISNUMBER($B57),ROUND(SUMPRODUCT($O$20:$O$25*($C$20:$C$25&lt;=$B57)*(($C$20:$C$25+$C$15-$B57)&gt;0)*($C$20:$C$25+$C$15-$B57)/$C$15*INDEX($S$20:$X$25,0,MAX(1,_xlfn.MAXIFS($L$20:$L$25,$C$20:$C$25,"&lt;="&amp;$B57,$Y$20:$Y$25,"&gt;0")))),2),"")</f>
        <v>130245.95</v>
      </c>
    </row>
    <row r="58" spans="2:10" x14ac:dyDescent="0.2">
      <c r="B58" s="25">
        <f>IF(ROWS($B$32:$B58)-1&lt;=($C$14+$C$15),ROWS($B$32:$B58)-1,IF(ROWS($B$32:$B58)-1=($C$14+$C$15)+1,"Total",""))</f>
        <v>26</v>
      </c>
      <c r="C58" s="26">
        <f ca="1">IF(ISNUMBER($B58),EDATE($G$8,$B58),"")</f>
        <v>47084</v>
      </c>
      <c r="D58" s="27">
        <f>IF(ISNUMBER($B58),SUMIFS($Y$20:$Y$25,$C$20:$C$25,$B58,$B$20:$B$25,"&lt;&gt;Paydown"),IF($B58="Total",SUM(D$31:D57),""))</f>
        <v>0</v>
      </c>
      <c r="E58" s="27">
        <f>IF(ISNUMBER($B58),D58*(1-$C$12),IF($B58="Total",SUM(E$31:E57),""))</f>
        <v>0</v>
      </c>
      <c r="F58" s="28" cm="1">
        <f t="array" ref="F58">IF(ISNUMBER($B58),SUMPRODUCT($O$20:$O$25*($B58&gt;$C$20:$C$25)*($B58&lt;=$C$20:$C$25+$C$15)*INDEX($S$20:$X$25,0,MAX(1,_xlfn.MAXIFS($L$20:$L$25,$C$20:$C$25,"&lt;="&amp;($B58-1),$Y$20:$Y$25,"&gt;0"))))/$C$15,IF($B58="Total",SUM(F$31:F57),""))</f>
        <v>16679.206499075495</v>
      </c>
      <c r="G58" s="28">
        <f>IF(ISNUMBER($B58),SUMIFS($Y$20:$Y$25,$C$20:$C$25,$B58,$B$20:$B$25,"Paydown"),IF($B58="Total",SUM(G$31:G57),""))</f>
        <v>0</v>
      </c>
      <c r="H58" s="27" cm="1">
        <f t="array" ref="H58">IF(ISNUMBER($B58),IF(AND($B58&gt;=1,$B58&lt;=$C$14),$C$13*MAX(0,$C$8-MAX(0,SUMPRODUCT(($C$20:$C$25&lt;=$B58-1)*($C$20:$C$25+$C$15&gt;$B58-1)*$N$20:$N$25)-SUMIFS($Y$20:$Y$25,$B$20:$B$25,"Paydown",$C$20:$C$25,"&lt;="&amp;($B58-1))/(1+$C$11))),0),IF($B58="Total",SUM(H$31:H57),""))</f>
        <v>0</v>
      </c>
      <c r="I58" s="28">
        <f>IF(ISNUMBER($B58),F58+G58+H58,IF($B58="Total",SUM(I$31:I57),""))</f>
        <v>16679.206499075495</v>
      </c>
      <c r="J58" s="27" cm="1">
        <f t="array" ref="J58">IF(ISNUMBER($B58),ROUND(SUMPRODUCT($O$20:$O$25*($C$20:$C$25&lt;=$B58)*(($C$20:$C$25+$C$15-$B58)&gt;0)*($C$20:$C$25+$C$15-$B58)/$C$15*INDEX($S$20:$X$25,0,MAX(1,_xlfn.MAXIFS($L$20:$L$25,$C$20:$C$25,"&lt;="&amp;$B58,$Y$20:$Y$25,"&gt;0")))),2),"")</f>
        <v>113566.75</v>
      </c>
    </row>
    <row r="59" spans="2:10" x14ac:dyDescent="0.2">
      <c r="B59" s="25">
        <f>IF(ROWS($B$32:$B59)-1&lt;=($C$14+$C$15),ROWS($B$32:$B59)-1,IF(ROWS($B$32:$B59)-1=($C$14+$C$15)+1,"Total",""))</f>
        <v>27</v>
      </c>
      <c r="C59" s="26">
        <f ca="1">IF(ISNUMBER($B59),EDATE($G$8,$B59),"")</f>
        <v>47114</v>
      </c>
      <c r="D59" s="27">
        <f>IF(ISNUMBER($B59),SUMIFS($Y$20:$Y$25,$C$20:$C$25,$B59,$B$20:$B$25,"&lt;&gt;Paydown"),IF($B59="Total",SUM(D$31:D58),""))</f>
        <v>0</v>
      </c>
      <c r="E59" s="27">
        <f>IF(ISNUMBER($B59),D59*(1-$C$12),IF($B59="Total",SUM(E$31:E58),""))</f>
        <v>0</v>
      </c>
      <c r="F59" s="28" cm="1">
        <f t="array" ref="F59">IF(ISNUMBER($B59),SUMPRODUCT($O$20:$O$25*($B59&gt;$C$20:$C$25)*($B59&lt;=$C$20:$C$25+$C$15)*INDEX($S$20:$X$25,0,MAX(1,_xlfn.MAXIFS($L$20:$L$25,$C$20:$C$25,"&lt;="&amp;($B59-1),$Y$20:$Y$25,"&gt;0"))))/$C$15,IF($B59="Total",SUM(F$31:F58),""))</f>
        <v>16679.206499075495</v>
      </c>
      <c r="G59" s="28">
        <f>IF(ISNUMBER($B59),SUMIFS($Y$20:$Y$25,$C$20:$C$25,$B59,$B$20:$B$25,"Paydown"),IF($B59="Total",SUM(G$31:G58),""))</f>
        <v>0</v>
      </c>
      <c r="H59" s="27" cm="1">
        <f t="array" ref="H59">IF(ISNUMBER($B59),IF(AND($B59&gt;=1,$B59&lt;=$C$14),$C$13*MAX(0,$C$8-MAX(0,SUMPRODUCT(($C$20:$C$25&lt;=$B59-1)*($C$20:$C$25+$C$15&gt;$B59-1)*$N$20:$N$25)-SUMIFS($Y$20:$Y$25,$B$20:$B$25,"Paydown",$C$20:$C$25,"&lt;="&amp;($B59-1))/(1+$C$11))),0),IF($B59="Total",SUM(H$31:H58),""))</f>
        <v>0</v>
      </c>
      <c r="I59" s="28">
        <f>IF(ISNUMBER($B59),F59+G59+H59,IF($B59="Total",SUM(I$31:I58),""))</f>
        <v>16679.206499075495</v>
      </c>
      <c r="J59" s="27" cm="1">
        <f t="array" ref="J59">IF(ISNUMBER($B59),ROUND(SUMPRODUCT($O$20:$O$25*($C$20:$C$25&lt;=$B59)*(($C$20:$C$25+$C$15-$B59)&gt;0)*($C$20:$C$25+$C$15-$B59)/$C$15*INDEX($S$20:$X$25,0,MAX(1,_xlfn.MAXIFS($L$20:$L$25,$C$20:$C$25,"&lt;="&amp;$B59,$Y$20:$Y$25,"&gt;0")))),2),"")</f>
        <v>96887.54</v>
      </c>
    </row>
    <row r="60" spans="2:10" x14ac:dyDescent="0.2">
      <c r="B60" s="25">
        <f>IF(ROWS($B$32:$B60)-1&lt;=($C$14+$C$15),ROWS($B$32:$B60)-1,IF(ROWS($B$32:$B60)-1=($C$14+$C$15)+1,"Total",""))</f>
        <v>28</v>
      </c>
      <c r="C60" s="26">
        <f ca="1">IF(ISNUMBER($B60),EDATE($G$8,$B60),"")</f>
        <v>47145</v>
      </c>
      <c r="D60" s="27">
        <f>IF(ISNUMBER($B60),SUMIFS($Y$20:$Y$25,$C$20:$C$25,$B60,$B$20:$B$25,"&lt;&gt;Paydown"),IF($B60="Total",SUM(D$31:D59),""))</f>
        <v>0</v>
      </c>
      <c r="E60" s="27">
        <f>IF(ISNUMBER($B60),D60*(1-$C$12),IF($B60="Total",SUM(E$31:E59),""))</f>
        <v>0</v>
      </c>
      <c r="F60" s="28" cm="1">
        <f t="array" ref="F60">IF(ISNUMBER($B60),SUMPRODUCT($O$20:$O$25*($B60&gt;$C$20:$C$25)*($B60&lt;=$C$20:$C$25+$C$15)*INDEX($S$20:$X$25,0,MAX(1,_xlfn.MAXIFS($L$20:$L$25,$C$20:$C$25,"&lt;="&amp;($B60-1),$Y$20:$Y$25,"&gt;0"))))/$C$15,IF($B60="Total",SUM(F$31:F59),""))</f>
        <v>16679.206499075495</v>
      </c>
      <c r="G60" s="28">
        <f>IF(ISNUMBER($B60),SUMIFS($Y$20:$Y$25,$C$20:$C$25,$B60,$B$20:$B$25,"Paydown"),IF($B60="Total",SUM(G$31:G59),""))</f>
        <v>0</v>
      </c>
      <c r="H60" s="27" cm="1">
        <f t="array" ref="H60">IF(ISNUMBER($B60),IF(AND($B60&gt;=1,$B60&lt;=$C$14),$C$13*MAX(0,$C$8-MAX(0,SUMPRODUCT(($C$20:$C$25&lt;=$B60-1)*($C$20:$C$25+$C$15&gt;$B60-1)*$N$20:$N$25)-SUMIFS($Y$20:$Y$25,$B$20:$B$25,"Paydown",$C$20:$C$25,"&lt;="&amp;($B60-1))/(1+$C$11))),0),IF($B60="Total",SUM(H$31:H59),""))</f>
        <v>0</v>
      </c>
      <c r="I60" s="28">
        <f>IF(ISNUMBER($B60),F60+G60+H60,IF($B60="Total",SUM(I$31:I59),""))</f>
        <v>16679.206499075495</v>
      </c>
      <c r="J60" s="27" cm="1">
        <f t="array" ref="J60">IF(ISNUMBER($B60),ROUND(SUMPRODUCT($O$20:$O$25*($C$20:$C$25&lt;=$B60)*(($C$20:$C$25+$C$15-$B60)&gt;0)*($C$20:$C$25+$C$15-$B60)/$C$15*INDEX($S$20:$X$25,0,MAX(1,_xlfn.MAXIFS($L$20:$L$25,$C$20:$C$25,"&lt;="&amp;$B60,$Y$20:$Y$25,"&gt;0")))),2),"")</f>
        <v>80208.33</v>
      </c>
    </row>
    <row r="61" spans="2:10" x14ac:dyDescent="0.2">
      <c r="B61" s="25">
        <f>IF(ROWS($B$32:$B61)-1&lt;=($C$14+$C$15),ROWS($B$32:$B61)-1,IF(ROWS($B$32:$B61)-1=($C$14+$C$15)+1,"Total",""))</f>
        <v>29</v>
      </c>
      <c r="C61" s="26">
        <f ca="1">IF(ISNUMBER($B61),EDATE($G$8,$B61),"")</f>
        <v>47176</v>
      </c>
      <c r="D61" s="27">
        <f>IF(ISNUMBER($B61),SUMIFS($Y$20:$Y$25,$C$20:$C$25,$B61,$B$20:$B$25,"&lt;&gt;Paydown"),IF($B61="Total",SUM(D$31:D60),""))</f>
        <v>0</v>
      </c>
      <c r="E61" s="27">
        <f>IF(ISNUMBER($B61),D61*(1-$C$12),IF($B61="Total",SUM(E$31:E60),""))</f>
        <v>0</v>
      </c>
      <c r="F61" s="28" cm="1">
        <f t="array" ref="F61">IF(ISNUMBER($B61),SUMPRODUCT($O$20:$O$25*($B61&gt;$C$20:$C$25)*($B61&lt;=$C$20:$C$25+$C$15)*INDEX($S$20:$X$25,0,MAX(1,_xlfn.MAXIFS($L$20:$L$25,$C$20:$C$25,"&lt;="&amp;($B61-1),$Y$20:$Y$25,"&gt;0"))))/$C$15,IF($B61="Total",SUM(F$31:F60),""))</f>
        <v>11458.333333333334</v>
      </c>
      <c r="G61" s="28">
        <f>IF(ISNUMBER($B61),SUMIFS($Y$20:$Y$25,$C$20:$C$25,$B61,$B$20:$B$25,"Paydown"),IF($B61="Total",SUM(G$31:G60),""))</f>
        <v>0</v>
      </c>
      <c r="H61" s="27" cm="1">
        <f t="array" ref="H61">IF(ISNUMBER($B61),IF(AND($B61&gt;=1,$B61&lt;=$C$14),$C$13*MAX(0,$C$8-MAX(0,SUMPRODUCT(($C$20:$C$25&lt;=$B61-1)*($C$20:$C$25+$C$15&gt;$B61-1)*$N$20:$N$25)-SUMIFS($Y$20:$Y$25,$B$20:$B$25,"Paydown",$C$20:$C$25,"&lt;="&amp;($B61-1))/(1+$C$11))),0),IF($B61="Total",SUM(H$31:H60),""))</f>
        <v>0</v>
      </c>
      <c r="I61" s="28">
        <f>IF(ISNUMBER($B61),F61+G61+H61,IF($B61="Total",SUM(I$31:I60),""))</f>
        <v>11458.333333333334</v>
      </c>
      <c r="J61" s="27" cm="1">
        <f t="array" ref="J61">IF(ISNUMBER($B61),ROUND(SUMPRODUCT($O$20:$O$25*($C$20:$C$25&lt;=$B61)*(($C$20:$C$25+$C$15-$B61)&gt;0)*($C$20:$C$25+$C$15-$B61)/$C$15*INDEX($S$20:$X$25,0,MAX(1,_xlfn.MAXIFS($L$20:$L$25,$C$20:$C$25,"&lt;="&amp;$B61,$Y$20:$Y$25,"&gt;0")))),2),"")</f>
        <v>68750</v>
      </c>
    </row>
    <row r="62" spans="2:10" x14ac:dyDescent="0.2">
      <c r="B62" s="25">
        <f>IF(ROWS($B$32:$B62)-1&lt;=($C$14+$C$15),ROWS($B$32:$B62)-1,IF(ROWS($B$32:$B62)-1=($C$14+$C$15)+1,"Total",""))</f>
        <v>30</v>
      </c>
      <c r="C62" s="26">
        <f ca="1">IF(ISNUMBER($B62),EDATE($G$8,$B62),"")</f>
        <v>47204</v>
      </c>
      <c r="D62" s="27">
        <f>IF(ISNUMBER($B62),SUMIFS($Y$20:$Y$25,$C$20:$C$25,$B62,$B$20:$B$25,"&lt;&gt;Paydown"),IF($B62="Total",SUM(D$31:D61),""))</f>
        <v>0</v>
      </c>
      <c r="E62" s="27">
        <f>IF(ISNUMBER($B62),D62*(1-$C$12),IF($B62="Total",SUM(E$31:E61),""))</f>
        <v>0</v>
      </c>
      <c r="F62" s="28" cm="1">
        <f t="array" ref="F62">IF(ISNUMBER($B62),SUMPRODUCT($O$20:$O$25*($B62&gt;$C$20:$C$25)*($B62&lt;=$C$20:$C$25+$C$15)*INDEX($S$20:$X$25,0,MAX(1,_xlfn.MAXIFS($L$20:$L$25,$C$20:$C$25,"&lt;="&amp;($B62-1),$Y$20:$Y$25,"&gt;0"))))/$C$15,IF($B62="Total",SUM(F$31:F61),""))</f>
        <v>11458.333333333334</v>
      </c>
      <c r="G62" s="28">
        <f>IF(ISNUMBER($B62),SUMIFS($Y$20:$Y$25,$C$20:$C$25,$B62,$B$20:$B$25,"Paydown"),IF($B62="Total",SUM(G$31:G61),""))</f>
        <v>0</v>
      </c>
      <c r="H62" s="27" cm="1">
        <f t="array" ref="H62">IF(ISNUMBER($B62),IF(AND($B62&gt;=1,$B62&lt;=$C$14),$C$13*MAX(0,$C$8-MAX(0,SUMPRODUCT(($C$20:$C$25&lt;=$B62-1)*($C$20:$C$25+$C$15&gt;$B62-1)*$N$20:$N$25)-SUMIFS($Y$20:$Y$25,$B$20:$B$25,"Paydown",$C$20:$C$25,"&lt;="&amp;($B62-1))/(1+$C$11))),0),IF($B62="Total",SUM(H$31:H61),""))</f>
        <v>0</v>
      </c>
      <c r="I62" s="28">
        <f>IF(ISNUMBER($B62),F62+G62+H62,IF($B62="Total",SUM(I$31:I61),""))</f>
        <v>11458.333333333334</v>
      </c>
      <c r="J62" s="27" cm="1">
        <f t="array" ref="J62">IF(ISNUMBER($B62),ROUND(SUMPRODUCT($O$20:$O$25*($C$20:$C$25&lt;=$B62)*(($C$20:$C$25+$C$15-$B62)&gt;0)*($C$20:$C$25+$C$15-$B62)/$C$15*INDEX($S$20:$X$25,0,MAX(1,_xlfn.MAXIFS($L$20:$L$25,$C$20:$C$25,"&lt;="&amp;$B62,$Y$20:$Y$25,"&gt;0")))),2),"")</f>
        <v>57291.67</v>
      </c>
    </row>
    <row r="63" spans="2:10" x14ac:dyDescent="0.2">
      <c r="B63" s="25">
        <f>IF(ROWS($B$32:$B63)-1&lt;=($C$14+$C$15),ROWS($B$32:$B63)-1,IF(ROWS($B$32:$B63)-1=($C$14+$C$15)+1,"Total",""))</f>
        <v>31</v>
      </c>
      <c r="C63" s="26">
        <f ca="1">IF(ISNUMBER($B63),EDATE($G$8,$B63),"")</f>
        <v>47235</v>
      </c>
      <c r="D63" s="27">
        <f>IF(ISNUMBER($B63),SUMIFS($Y$20:$Y$25,$C$20:$C$25,$B63,$B$20:$B$25,"&lt;&gt;Paydown"),IF($B63="Total",SUM(D$31:D62),""))</f>
        <v>0</v>
      </c>
      <c r="E63" s="27">
        <f>IF(ISNUMBER($B63),D63*(1-$C$12),IF($B63="Total",SUM(E$31:E62),""))</f>
        <v>0</v>
      </c>
      <c r="F63" s="28" cm="1">
        <f t="array" ref="F63">IF(ISNUMBER($B63),SUMPRODUCT($O$20:$O$25*($B63&gt;$C$20:$C$25)*($B63&lt;=$C$20:$C$25+$C$15)*INDEX($S$20:$X$25,0,MAX(1,_xlfn.MAXIFS($L$20:$L$25,$C$20:$C$25,"&lt;="&amp;($B63-1),$Y$20:$Y$25,"&gt;0"))))/$C$15,IF($B63="Total",SUM(F$31:F62),""))</f>
        <v>11458.333333333334</v>
      </c>
      <c r="G63" s="28">
        <f>IF(ISNUMBER($B63),SUMIFS($Y$20:$Y$25,$C$20:$C$25,$B63,$B$20:$B$25,"Paydown"),IF($B63="Total",SUM(G$31:G62),""))</f>
        <v>0</v>
      </c>
      <c r="H63" s="27" cm="1">
        <f t="array" ref="H63">IF(ISNUMBER($B63),IF(AND($B63&gt;=1,$B63&lt;=$C$14),$C$13*MAX(0,$C$8-MAX(0,SUMPRODUCT(($C$20:$C$25&lt;=$B63-1)*($C$20:$C$25+$C$15&gt;$B63-1)*$N$20:$N$25)-SUMIFS($Y$20:$Y$25,$B$20:$B$25,"Paydown",$C$20:$C$25,"&lt;="&amp;($B63-1))/(1+$C$11))),0),IF($B63="Total",SUM(H$31:H62),""))</f>
        <v>0</v>
      </c>
      <c r="I63" s="28">
        <f>IF(ISNUMBER($B63),F63+G63+H63,IF($B63="Total",SUM(I$31:I62),""))</f>
        <v>11458.333333333334</v>
      </c>
      <c r="J63" s="27" cm="1">
        <f t="array" ref="J63">IF(ISNUMBER($B63),ROUND(SUMPRODUCT($O$20:$O$25*($C$20:$C$25&lt;=$B63)*(($C$20:$C$25+$C$15-$B63)&gt;0)*($C$20:$C$25+$C$15-$B63)/$C$15*INDEX($S$20:$X$25,0,MAX(1,_xlfn.MAXIFS($L$20:$L$25,$C$20:$C$25,"&lt;="&amp;$B63,$Y$20:$Y$25,"&gt;0")))),2),"")</f>
        <v>45833.33</v>
      </c>
    </row>
    <row r="64" spans="2:10" x14ac:dyDescent="0.2">
      <c r="B64" s="25">
        <f>IF(ROWS($B$32:$B64)-1&lt;=($C$14+$C$15),ROWS($B$32:$B64)-1,IF(ROWS($B$32:$B64)-1=($C$14+$C$15)+1,"Total",""))</f>
        <v>32</v>
      </c>
      <c r="C64" s="26">
        <f ca="1">IF(ISNUMBER($B64),EDATE($G$8,$B64),"")</f>
        <v>47265</v>
      </c>
      <c r="D64" s="27">
        <f>IF(ISNUMBER($B64),SUMIFS($Y$20:$Y$25,$C$20:$C$25,$B64,$B$20:$B$25,"&lt;&gt;Paydown"),IF($B64="Total",SUM(D$31:D63),""))</f>
        <v>0</v>
      </c>
      <c r="E64" s="27">
        <f>IF(ISNUMBER($B64),D64*(1-$C$12),IF($B64="Total",SUM(E$31:E63),""))</f>
        <v>0</v>
      </c>
      <c r="F64" s="28" cm="1">
        <f t="array" ref="F64">IF(ISNUMBER($B64),SUMPRODUCT($O$20:$O$25*($B64&gt;$C$20:$C$25)*($B64&lt;=$C$20:$C$25+$C$15)*INDEX($S$20:$X$25,0,MAX(1,_xlfn.MAXIFS($L$20:$L$25,$C$20:$C$25,"&lt;="&amp;($B64-1),$Y$20:$Y$25,"&gt;0"))))/$C$15,IF($B64="Total",SUM(F$31:F63),""))</f>
        <v>11458.333333333334</v>
      </c>
      <c r="G64" s="28">
        <f>IF(ISNUMBER($B64),SUMIFS($Y$20:$Y$25,$C$20:$C$25,$B64,$B$20:$B$25,"Paydown"),IF($B64="Total",SUM(G$31:G63),""))</f>
        <v>0</v>
      </c>
      <c r="H64" s="27" cm="1">
        <f t="array" ref="H64">IF(ISNUMBER($B64),IF(AND($B64&gt;=1,$B64&lt;=$C$14),$C$13*MAX(0,$C$8-MAX(0,SUMPRODUCT(($C$20:$C$25&lt;=$B64-1)*($C$20:$C$25+$C$15&gt;$B64-1)*$N$20:$N$25)-SUMIFS($Y$20:$Y$25,$B$20:$B$25,"Paydown",$C$20:$C$25,"&lt;="&amp;($B64-1))/(1+$C$11))),0),IF($B64="Total",SUM(H$31:H63),""))</f>
        <v>0</v>
      </c>
      <c r="I64" s="28">
        <f>IF(ISNUMBER($B64),F64+G64+H64,IF($B64="Total",SUM(I$31:I63),""))</f>
        <v>11458.333333333334</v>
      </c>
      <c r="J64" s="27" cm="1">
        <f t="array" ref="J64">IF(ISNUMBER($B64),ROUND(SUMPRODUCT($O$20:$O$25*($C$20:$C$25&lt;=$B64)*(($C$20:$C$25+$C$15-$B64)&gt;0)*($C$20:$C$25+$C$15-$B64)/$C$15*INDEX($S$20:$X$25,0,MAX(1,_xlfn.MAXIFS($L$20:$L$25,$C$20:$C$25,"&lt;="&amp;$B64,$Y$20:$Y$25,"&gt;0")))),2),"")</f>
        <v>34375</v>
      </c>
    </row>
    <row r="65" spans="2:10" x14ac:dyDescent="0.2">
      <c r="B65" s="25">
        <f>IF(ROWS($B$32:$B65)-1&lt;=($C$14+$C$15),ROWS($B$32:$B65)-1,IF(ROWS($B$32:$B65)-1=($C$14+$C$15)+1,"Total",""))</f>
        <v>33</v>
      </c>
      <c r="C65" s="26">
        <f ca="1">IF(ISNUMBER($B65),EDATE($G$8,$B65),"")</f>
        <v>47296</v>
      </c>
      <c r="D65" s="27">
        <f>IF(ISNUMBER($B65),SUMIFS($Y$20:$Y$25,$C$20:$C$25,$B65,$B$20:$B$25,"&lt;&gt;Paydown"),IF($B65="Total",SUM(D$31:D64),""))</f>
        <v>0</v>
      </c>
      <c r="E65" s="27">
        <f>IF(ISNUMBER($B65),D65*(1-$C$12),IF($B65="Total",SUM(E$31:E64),""))</f>
        <v>0</v>
      </c>
      <c r="F65" s="28" cm="1">
        <f t="array" ref="F65">IF(ISNUMBER($B65),SUMPRODUCT($O$20:$O$25*($B65&gt;$C$20:$C$25)*($B65&lt;=$C$20:$C$25+$C$15)*INDEX($S$20:$X$25,0,MAX(1,_xlfn.MAXIFS($L$20:$L$25,$C$20:$C$25,"&lt;="&amp;($B65-1),$Y$20:$Y$25,"&gt;0"))))/$C$15,IF($B65="Total",SUM(F$31:F64),""))</f>
        <v>11458.333333333334</v>
      </c>
      <c r="G65" s="28">
        <f>IF(ISNUMBER($B65),SUMIFS($Y$20:$Y$25,$C$20:$C$25,$B65,$B$20:$B$25,"Paydown"),IF($B65="Total",SUM(G$31:G64),""))</f>
        <v>0</v>
      </c>
      <c r="H65" s="27" cm="1">
        <f t="array" ref="H65">IF(ISNUMBER($B65),IF(AND($B65&gt;=1,$B65&lt;=$C$14),$C$13*MAX(0,$C$8-MAX(0,SUMPRODUCT(($C$20:$C$25&lt;=$B65-1)*($C$20:$C$25+$C$15&gt;$B65-1)*$N$20:$N$25)-SUMIFS($Y$20:$Y$25,$B$20:$B$25,"Paydown",$C$20:$C$25,"&lt;="&amp;($B65-1))/(1+$C$11))),0),IF($B65="Total",SUM(H$31:H64),""))</f>
        <v>0</v>
      </c>
      <c r="I65" s="28">
        <f>IF(ISNUMBER($B65),F65+G65+H65,IF($B65="Total",SUM(I$31:I64),""))</f>
        <v>11458.333333333334</v>
      </c>
      <c r="J65" s="27" cm="1">
        <f t="array" ref="J65">IF(ISNUMBER($B65),ROUND(SUMPRODUCT($O$20:$O$25*($C$20:$C$25&lt;=$B65)*(($C$20:$C$25+$C$15-$B65)&gt;0)*($C$20:$C$25+$C$15-$B65)/$C$15*INDEX($S$20:$X$25,0,MAX(1,_xlfn.MAXIFS($L$20:$L$25,$C$20:$C$25,"&lt;="&amp;$B65,$Y$20:$Y$25,"&gt;0")))),2),"")</f>
        <v>22916.67</v>
      </c>
    </row>
    <row r="66" spans="2:10" x14ac:dyDescent="0.2">
      <c r="B66" s="25">
        <f>IF(ROWS($B$32:$B66)-1&lt;=($C$14+$C$15),ROWS($B$32:$B66)-1,IF(ROWS($B$32:$B66)-1=($C$14+$C$15)+1,"Total",""))</f>
        <v>34</v>
      </c>
      <c r="C66" s="26">
        <f ca="1">IF(ISNUMBER($B66),EDATE($G$8,$B66),"")</f>
        <v>47326</v>
      </c>
      <c r="D66" s="27">
        <f>IF(ISNUMBER($B66),SUMIFS($Y$20:$Y$25,$C$20:$C$25,$B66,$B$20:$B$25,"&lt;&gt;Paydown"),IF($B66="Total",SUM(D$31:D65),""))</f>
        <v>0</v>
      </c>
      <c r="E66" s="27">
        <f>IF(ISNUMBER($B66),D66*(1-$C$12),IF($B66="Total",SUM(E$31:E65),""))</f>
        <v>0</v>
      </c>
      <c r="F66" s="28" cm="1">
        <f t="array" ref="F66">IF(ISNUMBER($B66),SUMPRODUCT($O$20:$O$25*($B66&gt;$C$20:$C$25)*($B66&lt;=$C$20:$C$25+$C$15)*INDEX($S$20:$X$25,0,MAX(1,_xlfn.MAXIFS($L$20:$L$25,$C$20:$C$25,"&lt;="&amp;($B66-1),$Y$20:$Y$25,"&gt;0"))))/$C$15,IF($B66="Total",SUM(F$31:F65),""))</f>
        <v>11458.333333333334</v>
      </c>
      <c r="G66" s="28">
        <f>IF(ISNUMBER($B66),SUMIFS($Y$20:$Y$25,$C$20:$C$25,$B66,$B$20:$B$25,"Paydown"),IF($B66="Total",SUM(G$31:G65),""))</f>
        <v>0</v>
      </c>
      <c r="H66" s="27" cm="1">
        <f t="array" ref="H66">IF(ISNUMBER($B66),IF(AND($B66&gt;=1,$B66&lt;=$C$14),$C$13*MAX(0,$C$8-MAX(0,SUMPRODUCT(($C$20:$C$25&lt;=$B66-1)*($C$20:$C$25+$C$15&gt;$B66-1)*$N$20:$N$25)-SUMIFS($Y$20:$Y$25,$B$20:$B$25,"Paydown",$C$20:$C$25,"&lt;="&amp;($B66-1))/(1+$C$11))),0),IF($B66="Total",SUM(H$31:H65),""))</f>
        <v>0</v>
      </c>
      <c r="I66" s="28">
        <f>IF(ISNUMBER($B66),F66+G66+H66,IF($B66="Total",SUM(I$31:I65),""))</f>
        <v>11458.333333333334</v>
      </c>
      <c r="J66" s="27" cm="1">
        <f t="array" ref="J66">IF(ISNUMBER($B66),ROUND(SUMPRODUCT($O$20:$O$25*($C$20:$C$25&lt;=$B66)*(($C$20:$C$25+$C$15-$B66)&gt;0)*($C$20:$C$25+$C$15-$B66)/$C$15*INDEX($S$20:$X$25,0,MAX(1,_xlfn.MAXIFS($L$20:$L$25,$C$20:$C$25,"&lt;="&amp;$B66,$Y$20:$Y$25,"&gt;0")))),2),"")</f>
        <v>11458.33</v>
      </c>
    </row>
    <row r="67" spans="2:10" x14ac:dyDescent="0.2">
      <c r="B67" s="25">
        <f>IF(ROWS($B$32:$B67)-1&lt;=($C$14+$C$15),ROWS($B$32:$B67)-1,IF(ROWS($B$32:$B67)-1=($C$14+$C$15)+1,"Total",""))</f>
        <v>35</v>
      </c>
      <c r="C67" s="26">
        <f ca="1">IF(ISNUMBER($B67),EDATE($G$8,$B67),"")</f>
        <v>47357</v>
      </c>
      <c r="D67" s="27">
        <f>IF(ISNUMBER($B67),SUMIFS($Y$20:$Y$25,$C$20:$C$25,$B67,$B$20:$B$25,"&lt;&gt;Paydown"),IF($B67="Total",SUM(D$31:D66),""))</f>
        <v>0</v>
      </c>
      <c r="E67" s="27">
        <f>IF(ISNUMBER($B67),D67*(1-$C$12),IF($B67="Total",SUM(E$31:E66),""))</f>
        <v>0</v>
      </c>
      <c r="F67" s="28" cm="1">
        <f t="array" ref="F67">IF(ISNUMBER($B67),SUMPRODUCT($O$20:$O$25*($B67&gt;$C$20:$C$25)*($B67&lt;=$C$20:$C$25+$C$15)*INDEX($S$20:$X$25,0,MAX(1,_xlfn.MAXIFS($L$20:$L$25,$C$20:$C$25,"&lt;="&amp;($B67-1),$Y$20:$Y$25,"&gt;0"))))/$C$15,IF($B67="Total",SUM(F$31:F66),""))</f>
        <v>11458.333333333334</v>
      </c>
      <c r="G67" s="28">
        <f>IF(ISNUMBER($B67),SUMIFS($Y$20:$Y$25,$C$20:$C$25,$B67,$B$20:$B$25,"Paydown"),IF($B67="Total",SUM(G$31:G66),""))</f>
        <v>0</v>
      </c>
      <c r="H67" s="27" cm="1">
        <f t="array" ref="H67">IF(ISNUMBER($B67),IF(AND($B67&gt;=1,$B67&lt;=$C$14),$C$13*MAX(0,$C$8-MAX(0,SUMPRODUCT(($C$20:$C$25&lt;=$B67-1)*($C$20:$C$25+$C$15&gt;$B67-1)*$N$20:$N$25)-SUMIFS($Y$20:$Y$25,$B$20:$B$25,"Paydown",$C$20:$C$25,"&lt;="&amp;($B67-1))/(1+$C$11))),0),IF($B67="Total",SUM(H$31:H66),""))</f>
        <v>0</v>
      </c>
      <c r="I67" s="28">
        <f>IF(ISNUMBER($B67),F67+G67+H67,IF($B67="Total",SUM(I$31:I66),""))</f>
        <v>11458.333333333334</v>
      </c>
      <c r="J67" s="27" cm="1">
        <f t="array" ref="J67">IF(ISNUMBER($B67),ROUND(SUMPRODUCT($O$20:$O$25*($C$20:$C$25&lt;=$B67)*(($C$20:$C$25+$C$15-$B67)&gt;0)*($C$20:$C$25+$C$15-$B67)/$C$15*INDEX($S$20:$X$25,0,MAX(1,_xlfn.MAXIFS($L$20:$L$25,$C$20:$C$25,"&lt;="&amp;$B67,$Y$20:$Y$25,"&gt;0")))),2),"")</f>
        <v>0</v>
      </c>
    </row>
    <row r="68" spans="2:10" x14ac:dyDescent="0.2">
      <c r="B68" s="25">
        <f>IF(ROWS($B$32:$B68)-1&lt;=($C$14+$C$15),ROWS($B$32:$B68)-1,IF(ROWS($B$32:$B68)-1=($C$14+$C$15)+1,"Total",""))</f>
        <v>36</v>
      </c>
      <c r="C68" s="26">
        <f ca="1">IF(ISNUMBER($B68),EDATE($G$8,$B68),"")</f>
        <v>47388</v>
      </c>
      <c r="D68" s="27">
        <f>IF(ISNUMBER($B68),SUMIFS($Y$20:$Y$25,$C$20:$C$25,$B68,$B$20:$B$25,"&lt;&gt;Paydown"),IF($B68="Total",SUM(D$31:D67),""))</f>
        <v>0</v>
      </c>
      <c r="E68" s="27">
        <f>IF(ISNUMBER($B68),D68*(1-$C$12),IF($B68="Total",SUM(E$31:E67),""))</f>
        <v>0</v>
      </c>
      <c r="F68" s="28" cm="1">
        <f t="array" ref="F68">IF(ISNUMBER($B68),SUMPRODUCT($O$20:$O$25*($B68&gt;$C$20:$C$25)*($B68&lt;=$C$20:$C$25+$C$15)*INDEX($S$20:$X$25,0,MAX(1,_xlfn.MAXIFS($L$20:$L$25,$C$20:$C$25,"&lt;="&amp;($B68-1),$Y$20:$Y$25,"&gt;0"))))/$C$15,IF($B68="Total",SUM(F$31:F67),""))</f>
        <v>0</v>
      </c>
      <c r="G68" s="28">
        <f>IF(ISNUMBER($B68),SUMIFS($Y$20:$Y$25,$C$20:$C$25,$B68,$B$20:$B$25,"Paydown"),IF($B68="Total",SUM(G$31:G67),""))</f>
        <v>0</v>
      </c>
      <c r="H68" s="27" cm="1">
        <f t="array" ref="H68">IF(ISNUMBER($B68),IF(AND($B68&gt;=1,$B68&lt;=$C$14),$C$13*MAX(0,$C$8-MAX(0,SUMPRODUCT(($C$20:$C$25&lt;=$B68-1)*($C$20:$C$25+$C$15&gt;$B68-1)*$N$20:$N$25)-SUMIFS($Y$20:$Y$25,$B$20:$B$25,"Paydown",$C$20:$C$25,"&lt;="&amp;($B68-1))/(1+$C$11))),0),IF($B68="Total",SUM(H$31:H67),""))</f>
        <v>0</v>
      </c>
      <c r="I68" s="28">
        <f>IF(ISNUMBER($B68),F68+G68+H68,IF($B68="Total",SUM(I$31:I67),""))</f>
        <v>0</v>
      </c>
      <c r="J68" s="27" cm="1">
        <f t="array" ref="J68">IF(ISNUMBER($B68),ROUND(SUMPRODUCT($O$20:$O$25*($C$20:$C$25&lt;=$B68)*(($C$20:$C$25+$C$15-$B68)&gt;0)*($C$20:$C$25+$C$15-$B68)/$C$15*INDEX($S$20:$X$25,0,MAX(1,_xlfn.MAXIFS($L$20:$L$25,$C$20:$C$25,"&lt;="&amp;$B68,$Y$20:$Y$25,"&gt;0")))),2),"")</f>
        <v>0</v>
      </c>
    </row>
    <row r="69" spans="2:10" x14ac:dyDescent="0.2">
      <c r="B69" s="25" t="str">
        <f>IF(ROWS($B$32:$B69)-1&lt;=($C$14+$C$15),ROWS($B$32:$B69)-1,IF(ROWS($B$32:$B69)-1=($C$14+$C$15)+1,"Total",""))</f>
        <v>Total</v>
      </c>
      <c r="C69" s="26" t="str">
        <f>IF(ISNUMBER($B69),EDATE($G$8,$B69),"")</f>
        <v/>
      </c>
      <c r="D69" s="27">
        <f>IF(ISNUMBER($B69),SUMIFS($Y$20:$Y$25,$C$20:$C$25,$B69,$B$20:$B$25,"&lt;&gt;Paydown"),IF($B69="Total",SUM(D$31:D68),""))</f>
        <v>800000</v>
      </c>
      <c r="E69" s="27">
        <f>IF(ISNUMBER($B69),D69*(1-$C$12),IF($B69="Total",SUM(E$31:E68),""))</f>
        <v>784000</v>
      </c>
      <c r="F69" s="28" cm="1">
        <f t="array" ref="F69">IF(ISNUMBER($B69),SUMPRODUCT($O$20:$O$25*($B69&gt;$C$20:$C$25)*($B69&lt;=$C$20:$C$25+$C$15)*INDEX($S$20:$X$25,0,MAX(1,_xlfn.MAXIFS($L$20:$L$25,$C$20:$C$25,"&lt;="&amp;($B69-1),$Y$20:$Y$25,"&gt;0"))))/$C$15,IF($B69="Total",SUM(F$31:F68),""))</f>
        <v>630000.00000000023</v>
      </c>
      <c r="G69" s="28">
        <f>IF(ISNUMBER($B69),SUMIFS($Y$20:$Y$25,$C$20:$C$25,$B69,$B$20:$B$25,"Paydown"),IF($B69="Total",SUM(G$31:G68),""))</f>
        <v>250000</v>
      </c>
      <c r="H69" s="27" cm="1">
        <f t="array" ref="H69">IF(ISNUMBER($B69),IF(AND($B69&gt;=1,$B69&lt;=$C$14),$C$13*MAX(0,$C$8-MAX(0,SUMPRODUCT(($C$20:$C$25&lt;=$B69-1)*($C$20:$C$25+$C$15&gt;$B69-1)*$N$20:$N$25)-SUMIFS($Y$20:$Y$25,$B$20:$B$25,"Paydown",$C$20:$C$25,"&lt;="&amp;($B69-1))/(1+$C$11))),0),IF($B69="Total",SUM(H$31:H68),""))</f>
        <v>7195.454545454545</v>
      </c>
      <c r="I69" s="28">
        <f>IF(ISNUMBER($B69),F69+G69+H69,IF($B69="Total",SUM(I$31:I68),""))</f>
        <v>887195.45454545529</v>
      </c>
      <c r="J69" s="27" t="str" cm="1">
        <f t="array" ref="J69">IF(ISNUMBER($B69),ROUND(SUMPRODUCT($O$20:$O$25*($C$20:$C$25&lt;=$B69)*(($C$20:$C$25+$C$15-$B69)&gt;0)*($C$20:$C$25+$C$15-$B69)/$C$15*INDEX($S$20:$X$25,0,MAX(1,_xlfn.MAXIFS($L$20:$L$25,$C$20:$C$25,"&lt;="&amp;$B69,$Y$20:$Y$25,"&gt;0")))),2),"")</f>
        <v/>
      </c>
    </row>
    <row r="70" spans="2:10" x14ac:dyDescent="0.2">
      <c r="B70" s="25" t="str">
        <f>IF(ROWS($B$32:$B70)-1&lt;=($C$14+$C$15),ROWS($B$32:$B70)-1,IF(ROWS($B$32:$B70)-1=($C$14+$C$15)+1,"Total",""))</f>
        <v/>
      </c>
      <c r="C70" s="26" t="str">
        <f>IF(ISNUMBER($B70),EDATE($G$8,$B70),"")</f>
        <v/>
      </c>
      <c r="D70" s="27" t="str">
        <f>IF(ISNUMBER($B70),SUMIFS($Y$20:$Y$25,$C$20:$C$25,$B70,$B$20:$B$25,"&lt;&gt;Paydown"),IF($B70="Total",SUM(D$31:D69),""))</f>
        <v/>
      </c>
      <c r="E70" s="27" t="str">
        <f>IF(ISNUMBER($B70),D70*(1-$C$12),IF($B70="Total",SUM(E$31:E69),""))</f>
        <v/>
      </c>
      <c r="F70" s="28" t="str" cm="1">
        <f t="array" ref="F70">IF(ISNUMBER($B70),SUMPRODUCT($O$20:$O$25*($B70&gt;$C$20:$C$25)*($B70&lt;=$C$20:$C$25+$C$15)*INDEX($S$20:$X$25,0,MAX(1,_xlfn.MAXIFS($L$20:$L$25,$C$20:$C$25,"&lt;="&amp;($B70-1),$Y$20:$Y$25,"&gt;0"))))/$C$15,IF($B70="Total",SUM(F$31:F69),""))</f>
        <v/>
      </c>
      <c r="G70" s="28" t="str">
        <f>IF(ISNUMBER($B70),SUMIFS($Y$20:$Y$25,$C$20:$C$25,$B70,$B$20:$B$25,"Paydown"),IF($B70="Total",SUM(G$31:G69),""))</f>
        <v/>
      </c>
      <c r="H70" s="27" t="str" cm="1">
        <f t="array" ref="H70">IF(ISNUMBER($B70),IF(AND($B70&gt;=1,$B70&lt;=$C$14),$C$13*MAX(0,$C$8-MAX(0,SUMPRODUCT(($C$20:$C$25&lt;=$B70-1)*($C$20:$C$25+$C$15&gt;$B70-1)*$N$20:$N$25)-SUMIFS($Y$20:$Y$25,$B$20:$B$25,"Paydown",$C$20:$C$25,"&lt;="&amp;($B70-1))/(1+$C$11))),0),IF($B70="Total",SUM(H$31:H69),""))</f>
        <v/>
      </c>
      <c r="I70" s="28" t="str">
        <f>IF(ISNUMBER($B70),F70+G70+H70,IF($B70="Total",SUM(I$31:I69),""))</f>
        <v/>
      </c>
      <c r="J70" s="27" t="str" cm="1">
        <f t="array" ref="J70">IF(ISNUMBER($B70),ROUND(SUMPRODUCT($O$20:$O$25*($C$20:$C$25&lt;=$B70)*(($C$20:$C$25+$C$15-$B70)&gt;0)*($C$20:$C$25+$C$15-$B70)/$C$15*INDEX($S$20:$X$25,0,MAX(1,_xlfn.MAXIFS($L$20:$L$25,$C$20:$C$25,"&lt;="&amp;$B70,$Y$20:$Y$25,"&gt;0")))),2),"")</f>
        <v/>
      </c>
    </row>
    <row r="71" spans="2:10" x14ac:dyDescent="0.2">
      <c r="B71" s="25" t="str">
        <f>IF(ROWS($B$32:$B71)-1&lt;=($C$14+$C$15),ROWS($B$32:$B71)-1,IF(ROWS($B$32:$B71)-1=($C$14+$C$15)+1,"Total",""))</f>
        <v/>
      </c>
      <c r="C71" s="26" t="str">
        <f>IF(ISNUMBER($B71),EDATE($G$8,$B71),"")</f>
        <v/>
      </c>
      <c r="D71" s="27" t="str">
        <f>IF(ISNUMBER($B71),SUMIFS($Y$20:$Y$25,$C$20:$C$25,$B71,$B$20:$B$25,"&lt;&gt;Paydown"),IF($B71="Total",SUM(D$31:D70),""))</f>
        <v/>
      </c>
      <c r="E71" s="27" t="str">
        <f>IF(ISNUMBER($B71),D71*(1-$C$12),IF($B71="Total",SUM(E$31:E70),""))</f>
        <v/>
      </c>
      <c r="F71" s="28" t="str" cm="1">
        <f t="array" ref="F71">IF(ISNUMBER($B71),SUMPRODUCT($O$20:$O$25*($B71&gt;$C$20:$C$25)*($B71&lt;=$C$20:$C$25+$C$15)*INDEX($S$20:$X$25,0,MAX(1,_xlfn.MAXIFS($L$20:$L$25,$C$20:$C$25,"&lt;="&amp;($B71-1),$Y$20:$Y$25,"&gt;0"))))/$C$15,IF($B71="Total",SUM(F$31:F70),""))</f>
        <v/>
      </c>
      <c r="G71" s="28" t="str">
        <f>IF(ISNUMBER($B71),SUMIFS($Y$20:$Y$25,$C$20:$C$25,$B71,$B$20:$B$25,"Paydown"),IF($B71="Total",SUM(G$31:G70),""))</f>
        <v/>
      </c>
      <c r="H71" s="27" t="str" cm="1">
        <f t="array" ref="H71">IF(ISNUMBER($B71),IF(AND($B71&gt;=1,$B71&lt;=$C$14),$C$13*MAX(0,$C$8-MAX(0,SUMPRODUCT(($C$20:$C$25&lt;=$B71-1)*($C$20:$C$25+$C$15&gt;$B71-1)*$N$20:$N$25)-SUMIFS($Y$20:$Y$25,$B$20:$B$25,"Paydown",$C$20:$C$25,"&lt;="&amp;($B71-1))/(1+$C$11))),0),IF($B71="Total",SUM(H$31:H70),""))</f>
        <v/>
      </c>
      <c r="I71" s="28" t="str">
        <f>IF(ISNUMBER($B71),F71+G71+H71,IF($B71="Total",SUM(I$31:I70),""))</f>
        <v/>
      </c>
      <c r="J71" s="27" t="str" cm="1">
        <f t="array" ref="J71">IF(ISNUMBER($B71),ROUND(SUMPRODUCT($O$20:$O$25*($C$20:$C$25&lt;=$B71)*(($C$20:$C$25+$C$15-$B71)&gt;0)*($C$20:$C$25+$C$15-$B71)/$C$15*INDEX($S$20:$X$25,0,MAX(1,_xlfn.MAXIFS($L$20:$L$25,$C$20:$C$25,"&lt;="&amp;$B71,$Y$20:$Y$25,"&gt;0")))),2),"")</f>
        <v/>
      </c>
    </row>
    <row r="72" spans="2:10" x14ac:dyDescent="0.2">
      <c r="B72" s="25" t="str">
        <f>IF(ROWS($B$32:$B72)-1&lt;=($C$14+$C$15),ROWS($B$32:$B72)-1,IF(ROWS($B$32:$B72)-1=($C$14+$C$15)+1,"Total",""))</f>
        <v/>
      </c>
      <c r="C72" s="26" t="str">
        <f>IF(ISNUMBER($B72),EDATE($G$8,$B72),"")</f>
        <v/>
      </c>
      <c r="D72" s="27" t="str">
        <f>IF(ISNUMBER($B72),SUMIFS($Y$20:$Y$25,$C$20:$C$25,$B72,$B$20:$B$25,"&lt;&gt;Paydown"),IF($B72="Total",SUM(D$31:D71),""))</f>
        <v/>
      </c>
      <c r="E72" s="27" t="str">
        <f>IF(ISNUMBER($B72),D72*(1-$C$12),IF($B72="Total",SUM(E$31:E71),""))</f>
        <v/>
      </c>
      <c r="F72" s="28" t="str" cm="1">
        <f t="array" ref="F72">IF(ISNUMBER($B72),SUMPRODUCT($O$20:$O$25*($B72&gt;$C$20:$C$25)*($B72&lt;=$C$20:$C$25+$C$15)*INDEX($S$20:$X$25,0,MAX(1,_xlfn.MAXIFS($L$20:$L$25,$C$20:$C$25,"&lt;="&amp;($B72-1),$Y$20:$Y$25,"&gt;0"))))/$C$15,IF($B72="Total",SUM(F$31:F71),""))</f>
        <v/>
      </c>
      <c r="G72" s="28" t="str">
        <f>IF(ISNUMBER($B72),SUMIFS($Y$20:$Y$25,$C$20:$C$25,$B72,$B$20:$B$25,"Paydown"),IF($B72="Total",SUM(G$31:G71),""))</f>
        <v/>
      </c>
      <c r="H72" s="27" t="str" cm="1">
        <f t="array" ref="H72">IF(ISNUMBER($B72),IF(AND($B72&gt;=1,$B72&lt;=$C$14),$C$13*MAX(0,$C$8-MAX(0,SUMPRODUCT(($C$20:$C$25&lt;=$B72-1)*($C$20:$C$25+$C$15&gt;$B72-1)*$N$20:$N$25)-SUMIFS($Y$20:$Y$25,$B$20:$B$25,"Paydown",$C$20:$C$25,"&lt;="&amp;($B72-1))/(1+$C$11))),0),IF($B72="Total",SUM(H$31:H71),""))</f>
        <v/>
      </c>
      <c r="I72" s="28" t="str">
        <f>IF(ISNUMBER($B72),F72+G72+H72,IF($B72="Total",SUM(I$31:I71),""))</f>
        <v/>
      </c>
      <c r="J72" s="27" t="str" cm="1">
        <f t="array" ref="J72">IF(ISNUMBER($B72),ROUND(SUMPRODUCT($O$20:$O$25*($C$20:$C$25&lt;=$B72)*(($C$20:$C$25+$C$15-$B72)&gt;0)*($C$20:$C$25+$C$15-$B72)/$C$15*INDEX($S$20:$X$25,0,MAX(1,_xlfn.MAXIFS($L$20:$L$25,$C$20:$C$25,"&lt;="&amp;$B72,$Y$20:$Y$25,"&gt;0")))),2),"")</f>
        <v/>
      </c>
    </row>
    <row r="73" spans="2:10" x14ac:dyDescent="0.2">
      <c r="B73" s="25" t="str">
        <f>IF(ROWS($B$32:$B73)-1&lt;=($C$14+$C$15),ROWS($B$32:$B73)-1,IF(ROWS($B$32:$B73)-1=($C$14+$C$15)+1,"Total",""))</f>
        <v/>
      </c>
      <c r="C73" s="26" t="str">
        <f>IF(ISNUMBER($B73),EDATE($G$8,$B73),"")</f>
        <v/>
      </c>
      <c r="D73" s="27" t="str">
        <f>IF(ISNUMBER($B73),SUMIFS($Y$20:$Y$25,$C$20:$C$25,$B73,$B$20:$B$25,"&lt;&gt;Paydown"),IF($B73="Total",SUM(D$31:D72),""))</f>
        <v/>
      </c>
      <c r="E73" s="27" t="str">
        <f>IF(ISNUMBER($B73),D73*(1-$C$12),IF($B73="Total",SUM(E$31:E72),""))</f>
        <v/>
      </c>
      <c r="F73" s="28" t="str" cm="1">
        <f t="array" ref="F73">IF(ISNUMBER($B73),SUMPRODUCT($O$20:$O$25*($B73&gt;$C$20:$C$25)*($B73&lt;=$C$20:$C$25+$C$15)*INDEX($S$20:$X$25,0,MAX(1,_xlfn.MAXIFS($L$20:$L$25,$C$20:$C$25,"&lt;="&amp;($B73-1),$Y$20:$Y$25,"&gt;0"))))/$C$15,IF($B73="Total",SUM(F$31:F72),""))</f>
        <v/>
      </c>
      <c r="G73" s="28" t="str">
        <f>IF(ISNUMBER($B73),SUMIFS($Y$20:$Y$25,$C$20:$C$25,$B73,$B$20:$B$25,"Paydown"),IF($B73="Total",SUM(G$31:G72),""))</f>
        <v/>
      </c>
      <c r="H73" s="27" t="str" cm="1">
        <f t="array" ref="H73">IF(ISNUMBER($B73),IF(AND($B73&gt;=1,$B73&lt;=$C$14),$C$13*MAX(0,$C$8-MAX(0,SUMPRODUCT(($C$20:$C$25&lt;=$B73-1)*($C$20:$C$25+$C$15&gt;$B73-1)*$N$20:$N$25)-SUMIFS($Y$20:$Y$25,$B$20:$B$25,"Paydown",$C$20:$C$25,"&lt;="&amp;($B73-1))/(1+$C$11))),0),IF($B73="Total",SUM(H$31:H72),""))</f>
        <v/>
      </c>
      <c r="I73" s="28" t="str">
        <f>IF(ISNUMBER($B73),F73+G73+H73,IF($B73="Total",SUM(I$31:I72),""))</f>
        <v/>
      </c>
      <c r="J73" s="27" t="str" cm="1">
        <f t="array" ref="J73">IF(ISNUMBER($B73),ROUND(SUMPRODUCT($O$20:$O$25*($C$20:$C$25&lt;=$B73)*(($C$20:$C$25+$C$15-$B73)&gt;0)*($C$20:$C$25+$C$15-$B73)/$C$15*INDEX($S$20:$X$25,0,MAX(1,_xlfn.MAXIFS($L$20:$L$25,$C$20:$C$25,"&lt;="&amp;$B73,$Y$20:$Y$25,"&gt;0")))),2),"")</f>
        <v/>
      </c>
    </row>
    <row r="74" spans="2:10" x14ac:dyDescent="0.2">
      <c r="B74" s="25" t="str">
        <f>IF(ROWS($B$32:$B74)-1&lt;=($C$14+$C$15),ROWS($B$32:$B74)-1,IF(ROWS($B$32:$B74)-1=($C$14+$C$15)+1,"Total",""))</f>
        <v/>
      </c>
      <c r="C74" s="26" t="str">
        <f>IF(ISNUMBER($B74),EDATE($G$8,$B74),"")</f>
        <v/>
      </c>
      <c r="D74" s="27" t="str">
        <f>IF(ISNUMBER($B74),SUMIFS($Y$20:$Y$25,$C$20:$C$25,$B74,$B$20:$B$25,"&lt;&gt;Paydown"),IF($B74="Total",SUM(D$31:D73),""))</f>
        <v/>
      </c>
      <c r="E74" s="27" t="str">
        <f>IF(ISNUMBER($B74),D74*(1-$C$12),IF($B74="Total",SUM(E$31:E73),""))</f>
        <v/>
      </c>
      <c r="F74" s="28" t="str" cm="1">
        <f t="array" ref="F74">IF(ISNUMBER($B74),SUMPRODUCT($O$20:$O$25*($B74&gt;$C$20:$C$25)*($B74&lt;=$C$20:$C$25+$C$15)*INDEX($S$20:$X$25,0,MAX(1,_xlfn.MAXIFS($L$20:$L$25,$C$20:$C$25,"&lt;="&amp;($B74-1),$Y$20:$Y$25,"&gt;0"))))/$C$15,IF($B74="Total",SUM(F$31:F73),""))</f>
        <v/>
      </c>
      <c r="G74" s="28" t="str">
        <f>IF(ISNUMBER($B74),SUMIFS($Y$20:$Y$25,$C$20:$C$25,$B74,$B$20:$B$25,"Paydown"),IF($B74="Total",SUM(G$31:G73),""))</f>
        <v/>
      </c>
      <c r="H74" s="27" t="str" cm="1">
        <f t="array" ref="H74">IF(ISNUMBER($B74),IF(AND($B74&gt;=1,$B74&lt;=$C$14),$C$13*MAX(0,$C$8-MAX(0,SUMPRODUCT(($C$20:$C$25&lt;=$B74-1)*($C$20:$C$25+$C$15&gt;$B74-1)*$N$20:$N$25)-SUMIFS($Y$20:$Y$25,$B$20:$B$25,"Paydown",$C$20:$C$25,"&lt;="&amp;($B74-1))/(1+$C$11))),0),IF($B74="Total",SUM(H$31:H73),""))</f>
        <v/>
      </c>
      <c r="I74" s="28" t="str">
        <f>IF(ISNUMBER($B74),F74+G74+H74,IF($B74="Total",SUM(I$31:I73),""))</f>
        <v/>
      </c>
      <c r="J74" s="27" t="str" cm="1">
        <f t="array" ref="J74">IF(ISNUMBER($B74),ROUND(SUMPRODUCT($O$20:$O$25*($C$20:$C$25&lt;=$B74)*(($C$20:$C$25+$C$15-$B74)&gt;0)*($C$20:$C$25+$C$15-$B74)/$C$15*INDEX($S$20:$X$25,0,MAX(1,_xlfn.MAXIFS($L$20:$L$25,$C$20:$C$25,"&lt;="&amp;$B74,$Y$20:$Y$25,"&gt;0")))),2),"")</f>
        <v/>
      </c>
    </row>
    <row r="75" spans="2:10" x14ac:dyDescent="0.2">
      <c r="B75" s="25" t="str">
        <f>IF(ROWS($B$32:$B75)-1&lt;=($C$14+$C$15),ROWS($B$32:$B75)-1,IF(ROWS($B$32:$B75)-1=($C$14+$C$15)+1,"Total",""))</f>
        <v/>
      </c>
      <c r="C75" s="26" t="str">
        <f>IF(ISNUMBER($B75),EDATE($G$8,$B75),"")</f>
        <v/>
      </c>
      <c r="D75" s="27" t="str">
        <f>IF(ISNUMBER($B75),SUMIFS($Y$20:$Y$25,$C$20:$C$25,$B75,$B$20:$B$25,"&lt;&gt;Paydown"),IF($B75="Total",SUM(D$31:D74),""))</f>
        <v/>
      </c>
      <c r="E75" s="27" t="str">
        <f>IF(ISNUMBER($B75),D75*(1-$C$12),IF($B75="Total",SUM(E$31:E74),""))</f>
        <v/>
      </c>
      <c r="F75" s="28" t="str" cm="1">
        <f t="array" ref="F75">IF(ISNUMBER($B75),SUMPRODUCT($O$20:$O$25*($B75&gt;$C$20:$C$25)*($B75&lt;=$C$20:$C$25+$C$15)*INDEX($S$20:$X$25,0,MAX(1,_xlfn.MAXIFS($L$20:$L$25,$C$20:$C$25,"&lt;="&amp;($B75-1),$Y$20:$Y$25,"&gt;0"))))/$C$15,IF($B75="Total",SUM(F$31:F74),""))</f>
        <v/>
      </c>
      <c r="G75" s="28" t="str">
        <f>IF(ISNUMBER($B75),SUMIFS($Y$20:$Y$25,$C$20:$C$25,$B75,$B$20:$B$25,"Paydown"),IF($B75="Total",SUM(G$31:G74),""))</f>
        <v/>
      </c>
      <c r="H75" s="27" t="str" cm="1">
        <f t="array" ref="H75">IF(ISNUMBER($B75),IF(AND($B75&gt;=1,$B75&lt;=$C$14),$C$13*MAX(0,$C$8-MAX(0,SUMPRODUCT(($C$20:$C$25&lt;=$B75-1)*($C$20:$C$25+$C$15&gt;$B75-1)*$N$20:$N$25)-SUMIFS($Y$20:$Y$25,$B$20:$B$25,"Paydown",$C$20:$C$25,"&lt;="&amp;($B75-1))/(1+$C$11))),0),IF($B75="Total",SUM(H$31:H74),""))</f>
        <v/>
      </c>
      <c r="I75" s="28" t="str">
        <f>IF(ISNUMBER($B75),F75+G75+H75,IF($B75="Total",SUM(I$31:I74),""))</f>
        <v/>
      </c>
      <c r="J75" s="27" t="str" cm="1">
        <f t="array" ref="J75">IF(ISNUMBER($B75),ROUND(SUMPRODUCT($O$20:$O$25*($C$20:$C$25&lt;=$B75)*(($C$20:$C$25+$C$15-$B75)&gt;0)*($C$20:$C$25+$C$15-$B75)/$C$15*INDEX($S$20:$X$25,0,MAX(1,_xlfn.MAXIFS($L$20:$L$25,$C$20:$C$25,"&lt;="&amp;$B75,$Y$20:$Y$25,"&gt;0")))),2),"")</f>
        <v/>
      </c>
    </row>
    <row r="76" spans="2:10" x14ac:dyDescent="0.2">
      <c r="B76" s="25" t="str">
        <f>IF(ROWS($B$32:$B76)-1&lt;=($C$14+$C$15),ROWS($B$32:$B76)-1,IF(ROWS($B$32:$B76)-1=($C$14+$C$15)+1,"Total",""))</f>
        <v/>
      </c>
      <c r="C76" s="26" t="str">
        <f>IF(ISNUMBER($B76),EDATE($G$8,$B76),"")</f>
        <v/>
      </c>
      <c r="D76" s="27" t="str">
        <f>IF(ISNUMBER($B76),SUMIFS($Y$20:$Y$25,$C$20:$C$25,$B76,$B$20:$B$25,"&lt;&gt;Paydown"),IF($B76="Total",SUM(D$31:D75),""))</f>
        <v/>
      </c>
      <c r="E76" s="27" t="str">
        <f>IF(ISNUMBER($B76),D76*(1-$C$12),IF($B76="Total",SUM(E$31:E75),""))</f>
        <v/>
      </c>
      <c r="F76" s="28" t="str" cm="1">
        <f t="array" ref="F76">IF(ISNUMBER($B76),SUMPRODUCT($O$20:$O$25*($B76&gt;$C$20:$C$25)*($B76&lt;=$C$20:$C$25+$C$15)*INDEX($S$20:$X$25,0,MAX(1,_xlfn.MAXIFS($L$20:$L$25,$C$20:$C$25,"&lt;="&amp;($B76-1),$Y$20:$Y$25,"&gt;0"))))/$C$15,IF($B76="Total",SUM(F$31:F75),""))</f>
        <v/>
      </c>
      <c r="G76" s="28" t="str">
        <f>IF(ISNUMBER($B76),SUMIFS($Y$20:$Y$25,$C$20:$C$25,$B76,$B$20:$B$25,"Paydown"),IF($B76="Total",SUM(G$31:G75),""))</f>
        <v/>
      </c>
      <c r="H76" s="27" t="str" cm="1">
        <f t="array" ref="H76">IF(ISNUMBER($B76),IF(AND($B76&gt;=1,$B76&lt;=$C$14),$C$13*MAX(0,$C$8-MAX(0,SUMPRODUCT(($C$20:$C$25&lt;=$B76-1)*($C$20:$C$25+$C$15&gt;$B76-1)*$N$20:$N$25)-SUMIFS($Y$20:$Y$25,$B$20:$B$25,"Paydown",$C$20:$C$25,"&lt;="&amp;($B76-1))/(1+$C$11))),0),IF($B76="Total",SUM(H$31:H75),""))</f>
        <v/>
      </c>
      <c r="I76" s="28" t="str">
        <f>IF(ISNUMBER($B76),F76+G76+H76,IF($B76="Total",SUM(I$31:I75),""))</f>
        <v/>
      </c>
      <c r="J76" s="27" t="str" cm="1">
        <f t="array" ref="J76">IF(ISNUMBER($B76),ROUND(SUMPRODUCT($O$20:$O$25*($C$20:$C$25&lt;=$B76)*(($C$20:$C$25+$C$15-$B76)&gt;0)*($C$20:$C$25+$C$15-$B76)/$C$15*INDEX($S$20:$X$25,0,MAX(1,_xlfn.MAXIFS($L$20:$L$25,$C$20:$C$25,"&lt;="&amp;$B76,$Y$20:$Y$25,"&gt;0")))),2),"")</f>
        <v/>
      </c>
    </row>
    <row r="77" spans="2:10" x14ac:dyDescent="0.2">
      <c r="B77" s="25" t="str">
        <f>IF(ROWS($B$32:$B77)-1&lt;=($C$14+$C$15),ROWS($B$32:$B77)-1,IF(ROWS($B$32:$B77)-1=($C$14+$C$15)+1,"Total",""))</f>
        <v/>
      </c>
      <c r="C77" s="26" t="str">
        <f>IF(ISNUMBER($B77),EDATE($G$8,$B77),"")</f>
        <v/>
      </c>
      <c r="D77" s="27" t="str">
        <f>IF(ISNUMBER($B77),SUMIFS($Y$20:$Y$25,$C$20:$C$25,$B77,$B$20:$B$25,"&lt;&gt;Paydown"),IF($B77="Total",SUM(D$31:D76),""))</f>
        <v/>
      </c>
      <c r="E77" s="27" t="str">
        <f>IF(ISNUMBER($B77),D77*(1-$C$12),IF($B77="Total",SUM(E$31:E76),""))</f>
        <v/>
      </c>
      <c r="F77" s="28" t="str" cm="1">
        <f t="array" ref="F77">IF(ISNUMBER($B77),SUMPRODUCT($O$20:$O$25*($B77&gt;$C$20:$C$25)*($B77&lt;=$C$20:$C$25+$C$15)*INDEX($S$20:$X$25,0,MAX(1,_xlfn.MAXIFS($L$20:$L$25,$C$20:$C$25,"&lt;="&amp;($B77-1),$Y$20:$Y$25,"&gt;0"))))/$C$15,IF($B77="Total",SUM(F$31:F76),""))</f>
        <v/>
      </c>
      <c r="G77" s="28" t="str">
        <f>IF(ISNUMBER($B77),SUMIFS($Y$20:$Y$25,$C$20:$C$25,$B77,$B$20:$B$25,"Paydown"),IF($B77="Total",SUM(G$31:G76),""))</f>
        <v/>
      </c>
      <c r="H77" s="27" t="str" cm="1">
        <f t="array" ref="H77">IF(ISNUMBER($B77),IF(AND($B77&gt;=1,$B77&lt;=$C$14),$C$13*MAX(0,$C$8-MAX(0,SUMPRODUCT(($C$20:$C$25&lt;=$B77-1)*($C$20:$C$25+$C$15&gt;$B77-1)*$N$20:$N$25)-SUMIFS($Y$20:$Y$25,$B$20:$B$25,"Paydown",$C$20:$C$25,"&lt;="&amp;($B77-1))/(1+$C$11))),0),IF($B77="Total",SUM(H$31:H76),""))</f>
        <v/>
      </c>
      <c r="I77" s="28" t="str">
        <f>IF(ISNUMBER($B77),F77+G77+H77,IF($B77="Total",SUM(I$31:I76),""))</f>
        <v/>
      </c>
      <c r="J77" s="27" t="str" cm="1">
        <f t="array" ref="J77">IF(ISNUMBER($B77),ROUND(SUMPRODUCT($O$20:$O$25*($C$20:$C$25&lt;=$B77)*(($C$20:$C$25+$C$15-$B77)&gt;0)*($C$20:$C$25+$C$15-$B77)/$C$15*INDEX($S$20:$X$25,0,MAX(1,_xlfn.MAXIFS($L$20:$L$25,$C$20:$C$25,"&lt;="&amp;$B77,$Y$20:$Y$25,"&gt;0")))),2),"")</f>
        <v/>
      </c>
    </row>
    <row r="78" spans="2:10" x14ac:dyDescent="0.2">
      <c r="B78" s="25" t="str">
        <f>IF(ROWS($B$32:$B78)-1&lt;=($C$14+$C$15),ROWS($B$32:$B78)-1,IF(ROWS($B$32:$B78)-1=($C$14+$C$15)+1,"Total",""))</f>
        <v/>
      </c>
      <c r="C78" s="26" t="str">
        <f>IF(ISNUMBER($B78),EDATE($G$8,$B78),"")</f>
        <v/>
      </c>
      <c r="D78" s="27" t="str">
        <f>IF(ISNUMBER($B78),SUMIFS($Y$20:$Y$25,$C$20:$C$25,$B78,$B$20:$B$25,"&lt;&gt;Paydown"),IF($B78="Total",SUM(D$31:D77),""))</f>
        <v/>
      </c>
      <c r="E78" s="27" t="str">
        <f>IF(ISNUMBER($B78),D78*(1-$C$12),IF($B78="Total",SUM(E$31:E77),""))</f>
        <v/>
      </c>
      <c r="F78" s="28" t="str" cm="1">
        <f t="array" ref="F78">IF(ISNUMBER($B78),SUMPRODUCT($O$20:$O$25*($B78&gt;$C$20:$C$25)*($B78&lt;=$C$20:$C$25+$C$15)*INDEX($S$20:$X$25,0,MAX(1,_xlfn.MAXIFS($L$20:$L$25,$C$20:$C$25,"&lt;="&amp;($B78-1),$Y$20:$Y$25,"&gt;0"))))/$C$15,IF($B78="Total",SUM(F$31:F77),""))</f>
        <v/>
      </c>
      <c r="G78" s="28" t="str">
        <f>IF(ISNUMBER($B78),SUMIFS($Y$20:$Y$25,$C$20:$C$25,$B78,$B$20:$B$25,"Paydown"),IF($B78="Total",SUM(G$31:G77),""))</f>
        <v/>
      </c>
      <c r="H78" s="27" t="str" cm="1">
        <f t="array" ref="H78">IF(ISNUMBER($B78),IF(AND($B78&gt;=1,$B78&lt;=$C$14),$C$13*MAX(0,$C$8-MAX(0,SUMPRODUCT(($C$20:$C$25&lt;=$B78-1)*($C$20:$C$25+$C$15&gt;$B78-1)*$N$20:$N$25)-SUMIFS($Y$20:$Y$25,$B$20:$B$25,"Paydown",$C$20:$C$25,"&lt;="&amp;($B78-1))/(1+$C$11))),0),IF($B78="Total",SUM(H$31:H77),""))</f>
        <v/>
      </c>
      <c r="I78" s="28" t="str">
        <f>IF(ISNUMBER($B78),F78+G78+H78,IF($B78="Total",SUM(I$31:I77),""))</f>
        <v/>
      </c>
      <c r="J78" s="27" t="str" cm="1">
        <f t="array" ref="J78">IF(ISNUMBER($B78),ROUND(SUMPRODUCT($O$20:$O$25*($C$20:$C$25&lt;=$B78)*(($C$20:$C$25+$C$15-$B78)&gt;0)*($C$20:$C$25+$C$15-$B78)/$C$15*INDEX($S$20:$X$25,0,MAX(1,_xlfn.MAXIFS($L$20:$L$25,$C$20:$C$25,"&lt;="&amp;$B78,$Y$20:$Y$25,"&gt;0")))),2),"")</f>
        <v/>
      </c>
    </row>
    <row r="79" spans="2:10" x14ac:dyDescent="0.2">
      <c r="B79" s="25" t="str">
        <f>IF(ROWS($B$32:$B79)-1&lt;=($C$14+$C$15),ROWS($B$32:$B79)-1,IF(ROWS($B$32:$B79)-1=($C$14+$C$15)+1,"Total",""))</f>
        <v/>
      </c>
      <c r="C79" s="26" t="str">
        <f>IF(ISNUMBER($B79),EDATE($G$8,$B79),"")</f>
        <v/>
      </c>
      <c r="D79" s="27" t="str">
        <f>IF(ISNUMBER($B79),SUMIFS($Y$20:$Y$25,$C$20:$C$25,$B79,$B$20:$B$25,"&lt;&gt;Paydown"),IF($B79="Total",SUM(D$31:D78),""))</f>
        <v/>
      </c>
      <c r="E79" s="27" t="str">
        <f>IF(ISNUMBER($B79),D79*(1-$C$12),IF($B79="Total",SUM(E$31:E78),""))</f>
        <v/>
      </c>
      <c r="F79" s="28" t="str" cm="1">
        <f t="array" ref="F79">IF(ISNUMBER($B79),SUMPRODUCT($O$20:$O$25*($B79&gt;$C$20:$C$25)*($B79&lt;=$C$20:$C$25+$C$15)*INDEX($S$20:$X$25,0,MAX(1,_xlfn.MAXIFS($L$20:$L$25,$C$20:$C$25,"&lt;="&amp;($B79-1),$Y$20:$Y$25,"&gt;0"))))/$C$15,IF($B79="Total",SUM(F$31:F78),""))</f>
        <v/>
      </c>
      <c r="G79" s="28" t="str">
        <f>IF(ISNUMBER($B79),SUMIFS($Y$20:$Y$25,$C$20:$C$25,$B79,$B$20:$B$25,"Paydown"),IF($B79="Total",SUM(G$31:G78),""))</f>
        <v/>
      </c>
      <c r="H79" s="27" t="str" cm="1">
        <f t="array" ref="H79">IF(ISNUMBER($B79),IF(AND($B79&gt;=1,$B79&lt;=$C$14),$C$13*MAX(0,$C$8-MAX(0,SUMPRODUCT(($C$20:$C$25&lt;=$B79-1)*($C$20:$C$25+$C$15&gt;$B79-1)*$N$20:$N$25)-SUMIFS($Y$20:$Y$25,$B$20:$B$25,"Paydown",$C$20:$C$25,"&lt;="&amp;($B79-1))/(1+$C$11))),0),IF($B79="Total",SUM(H$31:H78),""))</f>
        <v/>
      </c>
      <c r="I79" s="28" t="str">
        <f>IF(ISNUMBER($B79),F79+G79+H79,IF($B79="Total",SUM(I$31:I78),""))</f>
        <v/>
      </c>
      <c r="J79" s="27" t="str" cm="1">
        <f t="array" ref="J79">IF(ISNUMBER($B79),ROUND(SUMPRODUCT($O$20:$O$25*($C$20:$C$25&lt;=$B79)*(($C$20:$C$25+$C$15-$B79)&gt;0)*($C$20:$C$25+$C$15-$B79)/$C$15*INDEX($S$20:$X$25,0,MAX(1,_xlfn.MAXIFS($L$20:$L$25,$C$20:$C$25,"&lt;="&amp;$B79,$Y$20:$Y$25,"&gt;0")))),2),"")</f>
        <v/>
      </c>
    </row>
    <row r="80" spans="2:10" x14ac:dyDescent="0.2">
      <c r="B80" s="25" t="str">
        <f>IF(ROWS($B$32:$B80)-1&lt;=($C$14+$C$15),ROWS($B$32:$B80)-1,IF(ROWS($B$32:$B80)-1=($C$14+$C$15)+1,"Total",""))</f>
        <v/>
      </c>
      <c r="C80" s="26" t="str">
        <f>IF(ISNUMBER($B80),EDATE($G$8,$B80),"")</f>
        <v/>
      </c>
      <c r="D80" s="27" t="str">
        <f>IF(ISNUMBER($B80),SUMIFS($Y$20:$Y$25,$C$20:$C$25,$B80,$B$20:$B$25,"&lt;&gt;Paydown"),IF($B80="Total",SUM(D$31:D79),""))</f>
        <v/>
      </c>
      <c r="E80" s="27" t="str">
        <f>IF(ISNUMBER($B80),D80*(1-$C$12),IF($B80="Total",SUM(E$31:E79),""))</f>
        <v/>
      </c>
      <c r="F80" s="28" t="str" cm="1">
        <f t="array" ref="F80">IF(ISNUMBER($B80),SUMPRODUCT($O$20:$O$25*($B80&gt;$C$20:$C$25)*($B80&lt;=$C$20:$C$25+$C$15)*INDEX($S$20:$X$25,0,MAX(1,_xlfn.MAXIFS($L$20:$L$25,$C$20:$C$25,"&lt;="&amp;($B80-1),$Y$20:$Y$25,"&gt;0"))))/$C$15,IF($B80="Total",SUM(F$31:F79),""))</f>
        <v/>
      </c>
      <c r="G80" s="28" t="str">
        <f>IF(ISNUMBER($B80),SUMIFS($Y$20:$Y$25,$C$20:$C$25,$B80,$B$20:$B$25,"Paydown"),IF($B80="Total",SUM(G$31:G79),""))</f>
        <v/>
      </c>
      <c r="H80" s="27" t="str" cm="1">
        <f t="array" ref="H80">IF(ISNUMBER($B80),IF(AND($B80&gt;=1,$B80&lt;=$C$14),$C$13*MAX(0,$C$8-MAX(0,SUMPRODUCT(($C$20:$C$25&lt;=$B80-1)*($C$20:$C$25+$C$15&gt;$B80-1)*$N$20:$N$25)-SUMIFS($Y$20:$Y$25,$B$20:$B$25,"Paydown",$C$20:$C$25,"&lt;="&amp;($B80-1))/(1+$C$11))),0),IF($B80="Total",SUM(H$31:H79),""))</f>
        <v/>
      </c>
      <c r="I80" s="28" t="str">
        <f>IF(ISNUMBER($B80),F80+G80+H80,IF($B80="Total",SUM(I$31:I79),""))</f>
        <v/>
      </c>
      <c r="J80" s="27" t="str" cm="1">
        <f t="array" ref="J80">IF(ISNUMBER($B80),ROUND(SUMPRODUCT($O$20:$O$25*($C$20:$C$25&lt;=$B80)*(($C$20:$C$25+$C$15-$B80)&gt;0)*($C$20:$C$25+$C$15-$B80)/$C$15*INDEX($S$20:$X$25,0,MAX(1,_xlfn.MAXIFS($L$20:$L$25,$C$20:$C$25,"&lt;="&amp;$B80,$Y$20:$Y$25,"&gt;0")))),2),"")</f>
        <v/>
      </c>
    </row>
    <row r="81" spans="2:10" x14ac:dyDescent="0.2">
      <c r="B81" s="25" t="str">
        <f>IF(ROWS($B$32:$B81)-1&lt;=($C$14+$C$15),ROWS($B$32:$B81)-1,IF(ROWS($B$32:$B81)-1=($C$14+$C$15)+1,"Total",""))</f>
        <v/>
      </c>
      <c r="C81" s="26" t="str">
        <f>IF(ISNUMBER($B81),EDATE($G$8,$B81),"")</f>
        <v/>
      </c>
      <c r="D81" s="27" t="str">
        <f>IF(ISNUMBER($B81),SUMIFS($Y$20:$Y$25,$C$20:$C$25,$B81,$B$20:$B$25,"&lt;&gt;Paydown"),IF($B81="Total",SUM(D$31:D80),""))</f>
        <v/>
      </c>
      <c r="E81" s="27" t="str">
        <f>IF(ISNUMBER($B81),D81*(1-$C$12),IF($B81="Total",SUM(E$31:E80),""))</f>
        <v/>
      </c>
      <c r="F81" s="28" t="str" cm="1">
        <f t="array" ref="F81">IF(ISNUMBER($B81),SUMPRODUCT($O$20:$O$25*($B81&gt;$C$20:$C$25)*($B81&lt;=$C$20:$C$25+$C$15)*INDEX($S$20:$X$25,0,MAX(1,_xlfn.MAXIFS($L$20:$L$25,$C$20:$C$25,"&lt;="&amp;($B81-1),$Y$20:$Y$25,"&gt;0"))))/$C$15,IF($B81="Total",SUM(F$31:F80),""))</f>
        <v/>
      </c>
      <c r="G81" s="28" t="str">
        <f>IF(ISNUMBER($B81),SUMIFS($Y$20:$Y$25,$C$20:$C$25,$B81,$B$20:$B$25,"Paydown"),IF($B81="Total",SUM(G$31:G80),""))</f>
        <v/>
      </c>
      <c r="H81" s="27" t="str" cm="1">
        <f t="array" ref="H81">IF(ISNUMBER($B81),IF(AND($B81&gt;=1,$B81&lt;=$C$14),$C$13*MAX(0,$C$8-MAX(0,SUMPRODUCT(($C$20:$C$25&lt;=$B81-1)*($C$20:$C$25+$C$15&gt;$B81-1)*$N$20:$N$25)-SUMIFS($Y$20:$Y$25,$B$20:$B$25,"Paydown",$C$20:$C$25,"&lt;="&amp;($B81-1))/(1+$C$11))),0),IF($B81="Total",SUM(H$31:H80),""))</f>
        <v/>
      </c>
      <c r="I81" s="28" t="str">
        <f>IF(ISNUMBER($B81),F81+G81+H81,IF($B81="Total",SUM(I$31:I80),""))</f>
        <v/>
      </c>
      <c r="J81" s="27" t="str" cm="1">
        <f t="array" ref="J81">IF(ISNUMBER($B81),ROUND(SUMPRODUCT($O$20:$O$25*($C$20:$C$25&lt;=$B81)*(($C$20:$C$25+$C$15-$B81)&gt;0)*($C$20:$C$25+$C$15-$B81)/$C$15*INDEX($S$20:$X$25,0,MAX(1,_xlfn.MAXIFS($L$20:$L$25,$C$20:$C$25,"&lt;="&amp;$B81,$Y$20:$Y$25,"&gt;0")))),2),"")</f>
        <v/>
      </c>
    </row>
    <row r="82" spans="2:10" x14ac:dyDescent="0.2">
      <c r="B82" s="25" t="str">
        <f>IF(ROWS($B$32:$B82)-1&lt;=($C$14+$C$15),ROWS($B$32:$B82)-1,IF(ROWS($B$32:$B82)-1=($C$14+$C$15)+1,"Total",""))</f>
        <v/>
      </c>
      <c r="C82" s="26" t="str">
        <f>IF(ISNUMBER($B82),EDATE($G$8,$B82),"")</f>
        <v/>
      </c>
      <c r="D82" s="27" t="str">
        <f>IF(ISNUMBER($B82),SUMIFS($Y$20:$Y$25,$C$20:$C$25,$B82,$B$20:$B$25,"&lt;&gt;Paydown"),IF($B82="Total",SUM(D$31:D81),""))</f>
        <v/>
      </c>
      <c r="E82" s="27" t="str">
        <f>IF(ISNUMBER($B82),D82*(1-$C$12),IF($B82="Total",SUM(E$31:E81),""))</f>
        <v/>
      </c>
      <c r="F82" s="28" t="str" cm="1">
        <f t="array" ref="F82">IF(ISNUMBER($B82),SUMPRODUCT($O$20:$O$25*($B82&gt;$C$20:$C$25)*($B82&lt;=$C$20:$C$25+$C$15)*INDEX($S$20:$X$25,0,MAX(1,_xlfn.MAXIFS($L$20:$L$25,$C$20:$C$25,"&lt;="&amp;($B82-1),$Y$20:$Y$25,"&gt;0"))))/$C$15,IF($B82="Total",SUM(F$31:F81),""))</f>
        <v/>
      </c>
      <c r="G82" s="28" t="str">
        <f>IF(ISNUMBER($B82),SUMIFS($Y$20:$Y$25,$C$20:$C$25,$B82,$B$20:$B$25,"Paydown"),IF($B82="Total",SUM(G$31:G81),""))</f>
        <v/>
      </c>
      <c r="H82" s="27" t="str" cm="1">
        <f t="array" ref="H82">IF(ISNUMBER($B82),IF(AND($B82&gt;=1,$B82&lt;=$C$14),$C$13*MAX(0,$C$8-MAX(0,SUMPRODUCT(($C$20:$C$25&lt;=$B82-1)*($C$20:$C$25+$C$15&gt;$B82-1)*$N$20:$N$25)-SUMIFS($Y$20:$Y$25,$B$20:$B$25,"Paydown",$C$20:$C$25,"&lt;="&amp;($B82-1))/(1+$C$11))),0),IF($B82="Total",SUM(H$31:H81),""))</f>
        <v/>
      </c>
      <c r="I82" s="28" t="str">
        <f>IF(ISNUMBER($B82),F82+G82+H82,IF($B82="Total",SUM(I$31:I81),""))</f>
        <v/>
      </c>
      <c r="J82" s="27" t="str" cm="1">
        <f t="array" ref="J82">IF(ISNUMBER($B82),ROUND(SUMPRODUCT($O$20:$O$25*($C$20:$C$25&lt;=$B82)*(($C$20:$C$25+$C$15-$B82)&gt;0)*($C$20:$C$25+$C$15-$B82)/$C$15*INDEX($S$20:$X$25,0,MAX(1,_xlfn.MAXIFS($L$20:$L$25,$C$20:$C$25,"&lt;="&amp;$B82,$Y$20:$Y$25,"&gt;0")))),2),"")</f>
        <v/>
      </c>
    </row>
    <row r="83" spans="2:10" x14ac:dyDescent="0.2">
      <c r="B83" s="25" t="str">
        <f>IF(ROWS($B$32:$B83)-1&lt;=($C$14+$C$15),ROWS($B$32:$B83)-1,IF(ROWS($B$32:$B83)-1=($C$14+$C$15)+1,"Total",""))</f>
        <v/>
      </c>
      <c r="C83" s="26" t="str">
        <f>IF(ISNUMBER($B83),EDATE($G$8,$B83),"")</f>
        <v/>
      </c>
      <c r="D83" s="27" t="str">
        <f>IF(ISNUMBER($B83),SUMIFS($Y$20:$Y$25,$C$20:$C$25,$B83,$B$20:$B$25,"&lt;&gt;Paydown"),IF($B83="Total",SUM(D$31:D82),""))</f>
        <v/>
      </c>
      <c r="E83" s="27" t="str">
        <f>IF(ISNUMBER($B83),D83*(1-$C$12),IF($B83="Total",SUM(E$31:E82),""))</f>
        <v/>
      </c>
      <c r="F83" s="28" t="str" cm="1">
        <f t="array" ref="F83">IF(ISNUMBER($B83),SUMPRODUCT($O$20:$O$25*($B83&gt;$C$20:$C$25)*($B83&lt;=$C$20:$C$25+$C$15)*INDEX($S$20:$X$25,0,MAX(1,_xlfn.MAXIFS($L$20:$L$25,$C$20:$C$25,"&lt;="&amp;($B83-1),$Y$20:$Y$25,"&gt;0"))))/$C$15,IF($B83="Total",SUM(F$31:F82),""))</f>
        <v/>
      </c>
      <c r="G83" s="28" t="str">
        <f>IF(ISNUMBER($B83),SUMIFS($Y$20:$Y$25,$C$20:$C$25,$B83,$B$20:$B$25,"Paydown"),IF($B83="Total",SUM(G$31:G82),""))</f>
        <v/>
      </c>
      <c r="H83" s="27" t="str" cm="1">
        <f t="array" ref="H83">IF(ISNUMBER($B83),IF(AND($B83&gt;=1,$B83&lt;=$C$14),$C$13*MAX(0,$C$8-MAX(0,SUMPRODUCT(($C$20:$C$25&lt;=$B83-1)*($C$20:$C$25+$C$15&gt;$B83-1)*$N$20:$N$25)-SUMIFS($Y$20:$Y$25,$B$20:$B$25,"Paydown",$C$20:$C$25,"&lt;="&amp;($B83-1))/(1+$C$11))),0),IF($B83="Total",SUM(H$31:H82),""))</f>
        <v/>
      </c>
      <c r="I83" s="28" t="str">
        <f>IF(ISNUMBER($B83),F83+G83+H83,IF($B83="Total",SUM(I$31:I82),""))</f>
        <v/>
      </c>
      <c r="J83" s="27" t="str" cm="1">
        <f t="array" ref="J83">IF(ISNUMBER($B83),ROUND(SUMPRODUCT($O$20:$O$25*($C$20:$C$25&lt;=$B83)*(($C$20:$C$25+$C$15-$B83)&gt;0)*($C$20:$C$25+$C$15-$B83)/$C$15*INDEX($S$20:$X$25,0,MAX(1,_xlfn.MAXIFS($L$20:$L$25,$C$20:$C$25,"&lt;="&amp;$B83,$Y$20:$Y$25,"&gt;0")))),2),"")</f>
        <v/>
      </c>
    </row>
    <row r="84" spans="2:10" x14ac:dyDescent="0.2">
      <c r="B84" s="25" t="str">
        <f>IF(ROWS($B$32:$B84)-1&lt;=($C$14+$C$15),ROWS($B$32:$B84)-1,IF(ROWS($B$32:$B84)-1=($C$14+$C$15)+1,"Total",""))</f>
        <v/>
      </c>
      <c r="C84" s="26" t="str">
        <f>IF(ISNUMBER($B84),EDATE($G$8,$B84),"")</f>
        <v/>
      </c>
      <c r="D84" s="27" t="str">
        <f>IF(ISNUMBER($B84),SUMIFS($Y$20:$Y$25,$C$20:$C$25,$B84,$B$20:$B$25,"&lt;&gt;Paydown"),IF($B84="Total",SUM(D$31:D83),""))</f>
        <v/>
      </c>
      <c r="E84" s="27" t="str">
        <f>IF(ISNUMBER($B84),D84*(1-$C$12),IF($B84="Total",SUM(E$31:E83),""))</f>
        <v/>
      </c>
      <c r="F84" s="28" t="str" cm="1">
        <f t="array" ref="F84">IF(ISNUMBER($B84),SUMPRODUCT($O$20:$O$25*($B84&gt;$C$20:$C$25)*($B84&lt;=$C$20:$C$25+$C$15)*INDEX($S$20:$X$25,0,MAX(1,_xlfn.MAXIFS($L$20:$L$25,$C$20:$C$25,"&lt;="&amp;($B84-1),$Y$20:$Y$25,"&gt;0"))))/$C$15,IF($B84="Total",SUM(F$31:F83),""))</f>
        <v/>
      </c>
      <c r="G84" s="28" t="str">
        <f>IF(ISNUMBER($B84),SUMIFS($Y$20:$Y$25,$C$20:$C$25,$B84,$B$20:$B$25,"Paydown"),IF($B84="Total",SUM(G$31:G83),""))</f>
        <v/>
      </c>
      <c r="H84" s="27" t="str" cm="1">
        <f t="array" ref="H84">IF(ISNUMBER($B84),IF(AND($B84&gt;=1,$B84&lt;=$C$14),$C$13*MAX(0,$C$8-MAX(0,SUMPRODUCT(($C$20:$C$25&lt;=$B84-1)*($C$20:$C$25+$C$15&gt;$B84-1)*$N$20:$N$25)-SUMIFS($Y$20:$Y$25,$B$20:$B$25,"Paydown",$C$20:$C$25,"&lt;="&amp;($B84-1))/(1+$C$11))),0),IF($B84="Total",SUM(H$31:H83),""))</f>
        <v/>
      </c>
      <c r="I84" s="28" t="str">
        <f>IF(ISNUMBER($B84),F84+G84+H84,IF($B84="Total",SUM(I$31:I83),""))</f>
        <v/>
      </c>
      <c r="J84" s="27" t="str" cm="1">
        <f t="array" ref="J84">IF(ISNUMBER($B84),ROUND(SUMPRODUCT($O$20:$O$25*($C$20:$C$25&lt;=$B84)*(($C$20:$C$25+$C$15-$B84)&gt;0)*($C$20:$C$25+$C$15-$B84)/$C$15*INDEX($S$20:$X$25,0,MAX(1,_xlfn.MAXIFS($L$20:$L$25,$C$20:$C$25,"&lt;="&amp;$B84,$Y$20:$Y$25,"&gt;0")))),2),"")</f>
        <v/>
      </c>
    </row>
    <row r="85" spans="2:10" x14ac:dyDescent="0.2">
      <c r="B85" s="25" t="str">
        <f>IF(ROWS($B$32:$B85)-1&lt;=($C$14+$C$15),ROWS($B$32:$B85)-1,IF(ROWS($B$32:$B85)-1=($C$14+$C$15)+1,"Total",""))</f>
        <v/>
      </c>
      <c r="C85" s="26" t="str">
        <f>IF(ISNUMBER($B85),EDATE($G$8,$B85),"")</f>
        <v/>
      </c>
      <c r="D85" s="27" t="str">
        <f>IF(ISNUMBER($B85),SUMIFS($Y$20:$Y$25,$C$20:$C$25,$B85,$B$20:$B$25,"&lt;&gt;Paydown"),IF($B85="Total",SUM(D$31:D84),""))</f>
        <v/>
      </c>
      <c r="E85" s="27" t="str">
        <f>IF(ISNUMBER($B85),D85*(1-$C$12),IF($B85="Total",SUM(E$31:E84),""))</f>
        <v/>
      </c>
      <c r="F85" s="28" t="str" cm="1">
        <f t="array" ref="F85">IF(ISNUMBER($B85),SUMPRODUCT($O$20:$O$25*($B85&gt;$C$20:$C$25)*($B85&lt;=$C$20:$C$25+$C$15)*INDEX($S$20:$X$25,0,MAX(1,_xlfn.MAXIFS($L$20:$L$25,$C$20:$C$25,"&lt;="&amp;($B85-1),$Y$20:$Y$25,"&gt;0"))))/$C$15,IF($B85="Total",SUM(F$31:F84),""))</f>
        <v/>
      </c>
      <c r="G85" s="28" t="str">
        <f>IF(ISNUMBER($B85),SUMIFS($Y$20:$Y$25,$C$20:$C$25,$B85,$B$20:$B$25,"Paydown"),IF($B85="Total",SUM(G$31:G84),""))</f>
        <v/>
      </c>
      <c r="H85" s="27" t="str" cm="1">
        <f t="array" ref="H85">IF(ISNUMBER($B85),IF(AND($B85&gt;=1,$B85&lt;=$C$14),$C$13*MAX(0,$C$8-MAX(0,SUMPRODUCT(($C$20:$C$25&lt;=$B85-1)*($C$20:$C$25+$C$15&gt;$B85-1)*$N$20:$N$25)-SUMIFS($Y$20:$Y$25,$B$20:$B$25,"Paydown",$C$20:$C$25,"&lt;="&amp;($B85-1))/(1+$C$11))),0),IF($B85="Total",SUM(H$31:H84),""))</f>
        <v/>
      </c>
      <c r="I85" s="28" t="str">
        <f>IF(ISNUMBER($B85),F85+G85+H85,IF($B85="Total",SUM(I$31:I84),""))</f>
        <v/>
      </c>
      <c r="J85" s="27" t="str" cm="1">
        <f t="array" ref="J85">IF(ISNUMBER($B85),ROUND(SUMPRODUCT($O$20:$O$25*($C$20:$C$25&lt;=$B85)*(($C$20:$C$25+$C$15-$B85)&gt;0)*($C$20:$C$25+$C$15-$B85)/$C$15*INDEX($S$20:$X$25,0,MAX(1,_xlfn.MAXIFS($L$20:$L$25,$C$20:$C$25,"&lt;="&amp;$B85,$Y$20:$Y$25,"&gt;0")))),2),"")</f>
        <v/>
      </c>
    </row>
    <row r="86" spans="2:10" x14ac:dyDescent="0.2">
      <c r="B86" s="25" t="str">
        <f>IF(ROWS($B$32:$B86)-1&lt;=($C$14+$C$15),ROWS($B$32:$B86)-1,IF(ROWS($B$32:$B86)-1=($C$14+$C$15)+1,"Total",""))</f>
        <v/>
      </c>
      <c r="C86" s="26" t="str">
        <f>IF(ISNUMBER($B86),EDATE($G$8,$B86),"")</f>
        <v/>
      </c>
      <c r="D86" s="27" t="str">
        <f>IF(ISNUMBER($B86),SUMIFS($Y$20:$Y$25,$C$20:$C$25,$B86,$B$20:$B$25,"&lt;&gt;Paydown"),IF($B86="Total",SUM(D$31:D85),""))</f>
        <v/>
      </c>
      <c r="E86" s="27" t="str">
        <f>IF(ISNUMBER($B86),D86*(1-$C$12),IF($B86="Total",SUM(E$31:E85),""))</f>
        <v/>
      </c>
      <c r="F86" s="28" t="str" cm="1">
        <f t="array" ref="F86">IF(ISNUMBER($B86),SUMPRODUCT($O$20:$O$25*($B86&gt;$C$20:$C$25)*($B86&lt;=$C$20:$C$25+$C$15)*INDEX($S$20:$X$25,0,MAX(1,_xlfn.MAXIFS($L$20:$L$25,$C$20:$C$25,"&lt;="&amp;($B86-1),$Y$20:$Y$25,"&gt;0"))))/$C$15,IF($B86="Total",SUM(F$31:F85),""))</f>
        <v/>
      </c>
      <c r="G86" s="28" t="str">
        <f>IF(ISNUMBER($B86),SUMIFS($Y$20:$Y$25,$C$20:$C$25,$B86,$B$20:$B$25,"Paydown"),IF($B86="Total",SUM(G$31:G85),""))</f>
        <v/>
      </c>
      <c r="H86" s="27" t="str" cm="1">
        <f t="array" ref="H86">IF(ISNUMBER($B86),IF(AND($B86&gt;=1,$B86&lt;=$C$14),$C$13*MAX(0,$C$8-MAX(0,SUMPRODUCT(($C$20:$C$25&lt;=$B86-1)*($C$20:$C$25+$C$15&gt;$B86-1)*$N$20:$N$25)-SUMIFS($Y$20:$Y$25,$B$20:$B$25,"Paydown",$C$20:$C$25,"&lt;="&amp;($B86-1))/(1+$C$11))),0),IF($B86="Total",SUM(H$31:H85),""))</f>
        <v/>
      </c>
      <c r="I86" s="28" t="str">
        <f>IF(ISNUMBER($B86),F86+G86+H86,IF($B86="Total",SUM(I$31:I85),""))</f>
        <v/>
      </c>
      <c r="J86" s="27" t="str" cm="1">
        <f t="array" ref="J86">IF(ISNUMBER($B86),ROUND(SUMPRODUCT($O$20:$O$25*($C$20:$C$25&lt;=$B86)*(($C$20:$C$25+$C$15-$B86)&gt;0)*($C$20:$C$25+$C$15-$B86)/$C$15*INDEX($S$20:$X$25,0,MAX(1,_xlfn.MAXIFS($L$20:$L$25,$C$20:$C$25,"&lt;="&amp;$B86,$Y$20:$Y$25,"&gt;0")))),2),"")</f>
        <v/>
      </c>
    </row>
    <row r="87" spans="2:10" x14ac:dyDescent="0.2">
      <c r="B87" s="25" t="str">
        <f>IF(ROWS($B$32:$B87)-1&lt;=($C$14+$C$15),ROWS($B$32:$B87)-1,IF(ROWS($B$32:$B87)-1=($C$14+$C$15)+1,"Total",""))</f>
        <v/>
      </c>
      <c r="C87" s="26" t="str">
        <f>IF(ISNUMBER($B87),EDATE($G$8,$B87),"")</f>
        <v/>
      </c>
      <c r="D87" s="27" t="str">
        <f>IF(ISNUMBER($B87),SUMIFS($Y$20:$Y$25,$C$20:$C$25,$B87,$B$20:$B$25,"&lt;&gt;Paydown"),IF($B87="Total",SUM(D$31:D86),""))</f>
        <v/>
      </c>
      <c r="E87" s="27" t="str">
        <f>IF(ISNUMBER($B87),D87*(1-$C$12),IF($B87="Total",SUM(E$31:E86),""))</f>
        <v/>
      </c>
      <c r="F87" s="28" t="str" cm="1">
        <f t="array" ref="F87">IF(ISNUMBER($B87),SUMPRODUCT($O$20:$O$25*($B87&gt;$C$20:$C$25)*($B87&lt;=$C$20:$C$25+$C$15)*INDEX($S$20:$X$25,0,MAX(1,_xlfn.MAXIFS($L$20:$L$25,$C$20:$C$25,"&lt;="&amp;($B87-1),$Y$20:$Y$25,"&gt;0"))))/$C$15,IF($B87="Total",SUM(F$31:F86),""))</f>
        <v/>
      </c>
      <c r="G87" s="28" t="str">
        <f>IF(ISNUMBER($B87),SUMIFS($Y$20:$Y$25,$C$20:$C$25,$B87,$B$20:$B$25,"Paydown"),IF($B87="Total",SUM(G$31:G86),""))</f>
        <v/>
      </c>
      <c r="H87" s="27" t="str" cm="1">
        <f t="array" ref="H87">IF(ISNUMBER($B87),IF(AND($B87&gt;=1,$B87&lt;=$C$14),$C$13*MAX(0,$C$8-MAX(0,SUMPRODUCT(($C$20:$C$25&lt;=$B87-1)*($C$20:$C$25+$C$15&gt;$B87-1)*$N$20:$N$25)-SUMIFS($Y$20:$Y$25,$B$20:$B$25,"Paydown",$C$20:$C$25,"&lt;="&amp;($B87-1))/(1+$C$11))),0),IF($B87="Total",SUM(H$31:H86),""))</f>
        <v/>
      </c>
      <c r="I87" s="28" t="str">
        <f>IF(ISNUMBER($B87),F87+G87+H87,IF($B87="Total",SUM(I$31:I86),""))</f>
        <v/>
      </c>
      <c r="J87" s="27" t="str" cm="1">
        <f t="array" ref="J87">IF(ISNUMBER($B87),ROUND(SUMPRODUCT($O$20:$O$25*($C$20:$C$25&lt;=$B87)*(($C$20:$C$25+$C$15-$B87)&gt;0)*($C$20:$C$25+$C$15-$B87)/$C$15*INDEX($S$20:$X$25,0,MAX(1,_xlfn.MAXIFS($L$20:$L$25,$C$20:$C$25,"&lt;="&amp;$B87,$Y$20:$Y$25,"&gt;0")))),2),"")</f>
        <v/>
      </c>
    </row>
    <row r="88" spans="2:10" x14ac:dyDescent="0.2">
      <c r="B88" s="25" t="str">
        <f>IF(ROWS($B$32:$B88)-1&lt;=($C$14+$C$15),ROWS($B$32:$B88)-1,IF(ROWS($B$32:$B88)-1=($C$14+$C$15)+1,"Total",""))</f>
        <v/>
      </c>
      <c r="C88" s="26" t="str">
        <f>IF(ISNUMBER($B88),EDATE($G$8,$B88),"")</f>
        <v/>
      </c>
      <c r="D88" s="27" t="str">
        <f>IF(ISNUMBER($B88),SUMIFS($Y$20:$Y$25,$C$20:$C$25,$B88,$B$20:$B$25,"&lt;&gt;Paydown"),IF($B88="Total",SUM(D$31:D87),""))</f>
        <v/>
      </c>
      <c r="E88" s="27" t="str">
        <f>IF(ISNUMBER($B88),D88*(1-$C$12),IF($B88="Total",SUM(E$31:E87),""))</f>
        <v/>
      </c>
      <c r="F88" s="28" t="str" cm="1">
        <f t="array" ref="F88">IF(ISNUMBER($B88),SUMPRODUCT($O$20:$O$25*($B88&gt;$C$20:$C$25)*($B88&lt;=$C$20:$C$25+$C$15)*INDEX($S$20:$X$25,0,MAX(1,_xlfn.MAXIFS($L$20:$L$25,$C$20:$C$25,"&lt;="&amp;($B88-1),$Y$20:$Y$25,"&gt;0"))))/$C$15,IF($B88="Total",SUM(F$31:F87),""))</f>
        <v/>
      </c>
      <c r="G88" s="28" t="str">
        <f>IF(ISNUMBER($B88),SUMIFS($Y$20:$Y$25,$C$20:$C$25,$B88,$B$20:$B$25,"Paydown"),IF($B88="Total",SUM(G$31:G87),""))</f>
        <v/>
      </c>
      <c r="H88" s="27" t="str" cm="1">
        <f t="array" ref="H88">IF(ISNUMBER($B88),IF(AND($B88&gt;=1,$B88&lt;=$C$14),$C$13*MAX(0,$C$8-MAX(0,SUMPRODUCT(($C$20:$C$25&lt;=$B88-1)*($C$20:$C$25+$C$15&gt;$B88-1)*$N$20:$N$25)-SUMIFS($Y$20:$Y$25,$B$20:$B$25,"Paydown",$C$20:$C$25,"&lt;="&amp;($B88-1))/(1+$C$11))),0),IF($B88="Total",SUM(H$31:H87),""))</f>
        <v/>
      </c>
      <c r="I88" s="28" t="str">
        <f>IF(ISNUMBER($B88),F88+G88+H88,IF($B88="Total",SUM(I$31:I87),""))</f>
        <v/>
      </c>
      <c r="J88" s="27" t="str" cm="1">
        <f t="array" ref="J88">IF(ISNUMBER($B88),ROUND(SUMPRODUCT($O$20:$O$25*($C$20:$C$25&lt;=$B88)*(($C$20:$C$25+$C$15-$B88)&gt;0)*($C$20:$C$25+$C$15-$B88)/$C$15*INDEX($S$20:$X$25,0,MAX(1,_xlfn.MAXIFS($L$20:$L$25,$C$20:$C$25,"&lt;="&amp;$B88,$Y$20:$Y$25,"&gt;0")))),2),"")</f>
        <v/>
      </c>
    </row>
    <row r="89" spans="2:10" x14ac:dyDescent="0.2">
      <c r="B89" s="25" t="str">
        <f>IF(ROWS($B$32:$B89)-1&lt;=($C$14+$C$15),ROWS($B$32:$B89)-1,IF(ROWS($B$32:$B89)-1=($C$14+$C$15)+1,"Total",""))</f>
        <v/>
      </c>
      <c r="C89" s="26" t="str">
        <f>IF(ISNUMBER($B89),EDATE($G$8,$B89),"")</f>
        <v/>
      </c>
      <c r="D89" s="27" t="str">
        <f>IF(ISNUMBER($B89),SUMIFS($Y$20:$Y$25,$C$20:$C$25,$B89,$B$20:$B$25,"&lt;&gt;Paydown"),IF($B89="Total",SUM(D$31:D88),""))</f>
        <v/>
      </c>
      <c r="E89" s="27" t="str">
        <f>IF(ISNUMBER($B89),D89*(1-$C$12),IF($B89="Total",SUM(E$31:E88),""))</f>
        <v/>
      </c>
      <c r="F89" s="28" t="str" cm="1">
        <f t="array" ref="F89">IF(ISNUMBER($B89),SUMPRODUCT($O$20:$O$25*($B89&gt;$C$20:$C$25)*($B89&lt;=$C$20:$C$25+$C$15)*INDEX($S$20:$X$25,0,MAX(1,_xlfn.MAXIFS($L$20:$L$25,$C$20:$C$25,"&lt;="&amp;($B89-1),$Y$20:$Y$25,"&gt;0"))))/$C$15,IF($B89="Total",SUM(F$31:F88),""))</f>
        <v/>
      </c>
      <c r="G89" s="28" t="str">
        <f>IF(ISNUMBER($B89),SUMIFS($Y$20:$Y$25,$C$20:$C$25,$B89,$B$20:$B$25,"Paydown"),IF($B89="Total",SUM(G$31:G88),""))</f>
        <v/>
      </c>
      <c r="H89" s="27" t="str" cm="1">
        <f t="array" ref="H89">IF(ISNUMBER($B89),IF(AND($B89&gt;=1,$B89&lt;=$C$14),$C$13*MAX(0,$C$8-MAX(0,SUMPRODUCT(($C$20:$C$25&lt;=$B89-1)*($C$20:$C$25+$C$15&gt;$B89-1)*$N$20:$N$25)-SUMIFS($Y$20:$Y$25,$B$20:$B$25,"Paydown",$C$20:$C$25,"&lt;="&amp;($B89-1))/(1+$C$11))),0),IF($B89="Total",SUM(H$31:H88),""))</f>
        <v/>
      </c>
      <c r="I89" s="28" t="str">
        <f>IF(ISNUMBER($B89),F89+G89+H89,IF($B89="Total",SUM(I$31:I88),""))</f>
        <v/>
      </c>
      <c r="J89" s="27" t="str" cm="1">
        <f t="array" ref="J89">IF(ISNUMBER($B89),ROUND(SUMPRODUCT($O$20:$O$25*($C$20:$C$25&lt;=$B89)*(($C$20:$C$25+$C$15-$B89)&gt;0)*($C$20:$C$25+$C$15-$B89)/$C$15*INDEX($S$20:$X$25,0,MAX(1,_xlfn.MAXIFS($L$20:$L$25,$C$20:$C$25,"&lt;="&amp;$B89,$Y$20:$Y$25,"&gt;0")))),2),"")</f>
        <v/>
      </c>
    </row>
    <row r="90" spans="2:10" x14ac:dyDescent="0.2">
      <c r="B90" s="25" t="str">
        <f>IF(ROWS($B$32:$B90)-1&lt;=($C$14+$C$15),ROWS($B$32:$B90)-1,IF(ROWS($B$32:$B90)-1=($C$14+$C$15)+1,"Total",""))</f>
        <v/>
      </c>
      <c r="C90" s="26" t="str">
        <f>IF(ISNUMBER($B90),EDATE($G$8,$B90),"")</f>
        <v/>
      </c>
      <c r="D90" s="27" t="str">
        <f>IF(ISNUMBER($B90),SUMIFS($Y$20:$Y$25,$C$20:$C$25,$B90,$B$20:$B$25,"&lt;&gt;Paydown"),IF($B90="Total",SUM(D$31:D89),""))</f>
        <v/>
      </c>
      <c r="E90" s="27" t="str">
        <f>IF(ISNUMBER($B90),D90*(1-$C$12),IF($B90="Total",SUM(E$31:E89),""))</f>
        <v/>
      </c>
      <c r="F90" s="28" t="str" cm="1">
        <f t="array" ref="F90">IF(ISNUMBER($B90),SUMPRODUCT($O$20:$O$25*($B90&gt;$C$20:$C$25)*($B90&lt;=$C$20:$C$25+$C$15)*INDEX($S$20:$X$25,0,MAX(1,_xlfn.MAXIFS($L$20:$L$25,$C$20:$C$25,"&lt;="&amp;($B90-1),$Y$20:$Y$25,"&gt;0"))))/$C$15,IF($B90="Total",SUM(F$31:F89),""))</f>
        <v/>
      </c>
      <c r="G90" s="28" t="str">
        <f>IF(ISNUMBER($B90),SUMIFS($Y$20:$Y$25,$C$20:$C$25,$B90,$B$20:$B$25,"Paydown"),IF($B90="Total",SUM(G$31:G89),""))</f>
        <v/>
      </c>
      <c r="H90" s="27" t="str" cm="1">
        <f t="array" ref="H90">IF(ISNUMBER($B90),IF(AND($B90&gt;=1,$B90&lt;=$C$14),$C$13*MAX(0,$C$8-MAX(0,SUMPRODUCT(($C$20:$C$25&lt;=$B90-1)*($C$20:$C$25+$C$15&gt;$B90-1)*$N$20:$N$25)-SUMIFS($Y$20:$Y$25,$B$20:$B$25,"Paydown",$C$20:$C$25,"&lt;="&amp;($B90-1))/(1+$C$11))),0),IF($B90="Total",SUM(H$31:H89),""))</f>
        <v/>
      </c>
      <c r="I90" s="28" t="str">
        <f>IF(ISNUMBER($B90),F90+G90+H90,IF($B90="Total",SUM(I$31:I89),""))</f>
        <v/>
      </c>
      <c r="J90" s="27" t="str" cm="1">
        <f t="array" ref="J90">IF(ISNUMBER($B90),ROUND(SUMPRODUCT($O$20:$O$25*($C$20:$C$25&lt;=$B90)*(($C$20:$C$25+$C$15-$B90)&gt;0)*($C$20:$C$25+$C$15-$B90)/$C$15*INDEX($S$20:$X$25,0,MAX(1,_xlfn.MAXIFS($L$20:$L$25,$C$20:$C$25,"&lt;="&amp;$B90,$Y$20:$Y$25,"&gt;0")))),2),"")</f>
        <v/>
      </c>
    </row>
    <row r="91" spans="2:10" x14ac:dyDescent="0.2">
      <c r="B91" s="25" t="str">
        <f>IF(ROWS($B$32:$B91)-1&lt;=($C$14+$C$15),ROWS($B$32:$B91)-1,IF(ROWS($B$32:$B91)-1=($C$14+$C$15)+1,"Total",""))</f>
        <v/>
      </c>
      <c r="C91" s="26" t="str">
        <f>IF(ISNUMBER($B91),EDATE($G$8,$B91),"")</f>
        <v/>
      </c>
      <c r="D91" s="27" t="str">
        <f>IF(ISNUMBER($B91),SUMIFS($Y$20:$Y$25,$C$20:$C$25,$B91,$B$20:$B$25,"&lt;&gt;Paydown"),IF($B91="Total",SUM(D$31:D90),""))</f>
        <v/>
      </c>
      <c r="E91" s="27" t="str">
        <f>IF(ISNUMBER($B91),D91*(1-$C$12),IF($B91="Total",SUM(E$31:E90),""))</f>
        <v/>
      </c>
      <c r="F91" s="28" t="str" cm="1">
        <f t="array" ref="F91">IF(ISNUMBER($B91),SUMPRODUCT($O$20:$O$25*($B91&gt;$C$20:$C$25)*($B91&lt;=$C$20:$C$25+$C$15)*INDEX($S$20:$X$25,0,MAX(1,_xlfn.MAXIFS($L$20:$L$25,$C$20:$C$25,"&lt;="&amp;($B91-1),$Y$20:$Y$25,"&gt;0"))))/$C$15,IF($B91="Total",SUM(F$31:F90),""))</f>
        <v/>
      </c>
      <c r="G91" s="28" t="str">
        <f>IF(ISNUMBER($B91),SUMIFS($Y$20:$Y$25,$C$20:$C$25,$B91,$B$20:$B$25,"Paydown"),IF($B91="Total",SUM(G$31:G90),""))</f>
        <v/>
      </c>
      <c r="H91" s="27" t="str" cm="1">
        <f t="array" ref="H91">IF(ISNUMBER($B91),IF(AND($B91&gt;=1,$B91&lt;=$C$14),$C$13*MAX(0,$C$8-MAX(0,SUMPRODUCT(($C$20:$C$25&lt;=$B91-1)*($C$20:$C$25+$C$15&gt;$B91-1)*$N$20:$N$25)-SUMIFS($Y$20:$Y$25,$B$20:$B$25,"Paydown",$C$20:$C$25,"&lt;="&amp;($B91-1))/(1+$C$11))),0),IF($B91="Total",SUM(H$31:H90),""))</f>
        <v/>
      </c>
      <c r="I91" s="28" t="str">
        <f>IF(ISNUMBER($B91),F91+G91+H91,IF($B91="Total",SUM(I$31:I90),""))</f>
        <v/>
      </c>
      <c r="J91" s="27" t="str" cm="1">
        <f t="array" ref="J91">IF(ISNUMBER($B91),ROUND(SUMPRODUCT($O$20:$O$25*($C$20:$C$25&lt;=$B91)*(($C$20:$C$25+$C$15-$B91)&gt;0)*($C$20:$C$25+$C$15-$B91)/$C$15*INDEX($S$20:$X$25,0,MAX(1,_xlfn.MAXIFS($L$20:$L$25,$C$20:$C$25,"&lt;="&amp;$B91,$Y$20:$Y$25,"&gt;0")))),2),"")</f>
        <v/>
      </c>
    </row>
    <row r="92" spans="2:10" x14ac:dyDescent="0.2">
      <c r="B92" s="25" t="str">
        <f>IF(ROWS($B$32:$B92)-1&lt;=($C$14+$C$15),ROWS($B$32:$B92)-1,IF(ROWS($B$32:$B92)-1=($C$14+$C$15)+1,"Total",""))</f>
        <v/>
      </c>
      <c r="C92" s="26" t="str">
        <f>IF(ISNUMBER($B92),EDATE($G$8,$B92),"")</f>
        <v/>
      </c>
      <c r="D92" s="27" t="str">
        <f>IF(ISNUMBER($B92),SUMIFS($Y$20:$Y$25,$C$20:$C$25,$B92,$B$20:$B$25,"&lt;&gt;Paydown"),IF($B92="Total",SUM(D$31:D91),""))</f>
        <v/>
      </c>
      <c r="E92" s="27" t="str">
        <f>IF(ISNUMBER($B92),D92*(1-$C$12),IF($B92="Total",SUM(E$31:E91),""))</f>
        <v/>
      </c>
      <c r="F92" s="28" t="str" cm="1">
        <f t="array" ref="F92">IF(ISNUMBER($B92),SUMPRODUCT($O$20:$O$25*($B92&gt;$C$20:$C$25)*($B92&lt;=$C$20:$C$25+$C$15)*INDEX($S$20:$X$25,0,MAX(1,_xlfn.MAXIFS($L$20:$L$25,$C$20:$C$25,"&lt;="&amp;($B92-1),$Y$20:$Y$25,"&gt;0"))))/$C$15,IF($B92="Total",SUM(F$31:F91),""))</f>
        <v/>
      </c>
      <c r="G92" s="28" t="str">
        <f>IF(ISNUMBER($B92),SUMIFS($Y$20:$Y$25,$C$20:$C$25,$B92,$B$20:$B$25,"Paydown"),IF($B92="Total",SUM(G$31:G91),""))</f>
        <v/>
      </c>
      <c r="H92" s="27" t="str" cm="1">
        <f t="array" ref="H92">IF(ISNUMBER($B92),IF(AND($B92&gt;=1,$B92&lt;=$C$14),$C$13*MAX(0,$C$8-MAX(0,SUMPRODUCT(($C$20:$C$25&lt;=$B92-1)*($C$20:$C$25+$C$15&gt;$B92-1)*$N$20:$N$25)-SUMIFS($Y$20:$Y$25,$B$20:$B$25,"Paydown",$C$20:$C$25,"&lt;="&amp;($B92-1))/(1+$C$11))),0),IF($B92="Total",SUM(H$31:H91),""))</f>
        <v/>
      </c>
      <c r="I92" s="28" t="str">
        <f>IF(ISNUMBER($B92),F92+G92+H92,IF($B92="Total",SUM(I$31:I91),""))</f>
        <v/>
      </c>
      <c r="J92" s="27" t="str" cm="1">
        <f t="array" ref="J92">IF(ISNUMBER($B92),ROUND(SUMPRODUCT($O$20:$O$25*($C$20:$C$25&lt;=$B92)*(($C$20:$C$25+$C$15-$B92)&gt;0)*($C$20:$C$25+$C$15-$B92)/$C$15*INDEX($S$20:$X$25,0,MAX(1,_xlfn.MAXIFS($L$20:$L$25,$C$20:$C$25,"&lt;="&amp;$B92,$Y$20:$Y$25,"&gt;0")))),2),"")</f>
        <v/>
      </c>
    </row>
    <row r="93" spans="2:10" x14ac:dyDescent="0.2">
      <c r="B93" s="25" t="str">
        <f>IF(ROWS($B$32:$B93)-1&lt;=($C$14+$C$15),ROWS($B$32:$B93)-1,IF(ROWS($B$32:$B93)-1=($C$14+$C$15)+1,"Total",""))</f>
        <v/>
      </c>
      <c r="C93" s="26" t="str">
        <f>IF(ISNUMBER($B93),EDATE($G$8,$B93),"")</f>
        <v/>
      </c>
      <c r="D93" s="27" t="str">
        <f>IF(ISNUMBER($B93),SUMIFS($Y$20:$Y$25,$C$20:$C$25,$B93,$B$20:$B$25,"&lt;&gt;Paydown"),IF($B93="Total",SUM(D$31:D92),""))</f>
        <v/>
      </c>
      <c r="E93" s="27" t="str">
        <f>IF(ISNUMBER($B93),D93*(1-$C$12),IF($B93="Total",SUM(E$31:E92),""))</f>
        <v/>
      </c>
      <c r="F93" s="28" t="str" cm="1">
        <f t="array" ref="F93">IF(ISNUMBER($B93),SUMPRODUCT($O$20:$O$25*($B93&gt;$C$20:$C$25)*($B93&lt;=$C$20:$C$25+$C$15)*INDEX($S$20:$X$25,0,MAX(1,_xlfn.MAXIFS($L$20:$L$25,$C$20:$C$25,"&lt;="&amp;($B93-1),$Y$20:$Y$25,"&gt;0"))))/$C$15,IF($B93="Total",SUM(F$31:F92),""))</f>
        <v/>
      </c>
      <c r="G93" s="28" t="str">
        <f>IF(ISNUMBER($B93),SUMIFS($Y$20:$Y$25,$C$20:$C$25,$B93,$B$20:$B$25,"Paydown"),IF($B93="Total",SUM(G$31:G92),""))</f>
        <v/>
      </c>
      <c r="H93" s="27" t="str" cm="1">
        <f t="array" ref="H93">IF(ISNUMBER($B93),IF(AND($B93&gt;=1,$B93&lt;=$C$14),$C$13*MAX(0,$C$8-MAX(0,SUMPRODUCT(($C$20:$C$25&lt;=$B93-1)*($C$20:$C$25+$C$15&gt;$B93-1)*$N$20:$N$25)-SUMIFS($Y$20:$Y$25,$B$20:$B$25,"Paydown",$C$20:$C$25,"&lt;="&amp;($B93-1))/(1+$C$11))),0),IF($B93="Total",SUM(H$31:H92),""))</f>
        <v/>
      </c>
      <c r="I93" s="28" t="str">
        <f>IF(ISNUMBER($B93),F93+G93+H93,IF($B93="Total",SUM(I$31:I92),""))</f>
        <v/>
      </c>
      <c r="J93" s="27" t="str" cm="1">
        <f t="array" ref="J93">IF(ISNUMBER($B93),ROUND(SUMPRODUCT($O$20:$O$25*($C$20:$C$25&lt;=$B93)*(($C$20:$C$25+$C$15-$B93)&gt;0)*($C$20:$C$25+$C$15-$B93)/$C$15*INDEX($S$20:$X$25,0,MAX(1,_xlfn.MAXIFS($L$20:$L$25,$C$20:$C$25,"&lt;="&amp;$B93,$Y$20:$Y$25,"&gt;0")))),2),"")</f>
        <v/>
      </c>
    </row>
    <row r="94" spans="2:10" x14ac:dyDescent="0.2">
      <c r="B94" s="25" t="str">
        <f>IF(ROWS($B$32:$B94)-1&lt;=($C$14+$C$15),ROWS($B$32:$B94)-1,IF(ROWS($B$32:$B94)-1=($C$14+$C$15)+1,"Total",""))</f>
        <v/>
      </c>
      <c r="C94" s="26" t="str">
        <f>IF(ISNUMBER($B94),EDATE($G$8,$B94),"")</f>
        <v/>
      </c>
      <c r="D94" s="27" t="str">
        <f>IF(ISNUMBER($B94),SUMIFS($Y$20:$Y$25,$C$20:$C$25,$B94,$B$20:$B$25,"&lt;&gt;Paydown"),IF($B94="Total",SUM(D$31:D93),""))</f>
        <v/>
      </c>
      <c r="E94" s="27" t="str">
        <f>IF(ISNUMBER($B94),D94*(1-$C$12),IF($B94="Total",SUM(E$31:E93),""))</f>
        <v/>
      </c>
      <c r="F94" s="28" t="str" cm="1">
        <f t="array" ref="F94">IF(ISNUMBER($B94),SUMPRODUCT($O$20:$O$25*($B94&gt;$C$20:$C$25)*($B94&lt;=$C$20:$C$25+$C$15)*INDEX($S$20:$X$25,0,MAX(1,_xlfn.MAXIFS($L$20:$L$25,$C$20:$C$25,"&lt;="&amp;($B94-1),$Y$20:$Y$25,"&gt;0"))))/$C$15,IF($B94="Total",SUM(F$31:F93),""))</f>
        <v/>
      </c>
      <c r="G94" s="28" t="str">
        <f>IF(ISNUMBER($B94),SUMIFS($Y$20:$Y$25,$C$20:$C$25,$B94,$B$20:$B$25,"Paydown"),IF($B94="Total",SUM(G$31:G93),""))</f>
        <v/>
      </c>
      <c r="H94" s="27" t="str" cm="1">
        <f t="array" ref="H94">IF(ISNUMBER($B94),IF(AND($B94&gt;=1,$B94&lt;=$C$14),$C$13*MAX(0,$C$8-MAX(0,SUMPRODUCT(($C$20:$C$25&lt;=$B94-1)*($C$20:$C$25+$C$15&gt;$B94-1)*$N$20:$N$25)-SUMIFS($Y$20:$Y$25,$B$20:$B$25,"Paydown",$C$20:$C$25,"&lt;="&amp;($B94-1))/(1+$C$11))),0),IF($B94="Total",SUM(H$31:H93),""))</f>
        <v/>
      </c>
      <c r="I94" s="28" t="str">
        <f>IF(ISNUMBER($B94),F94+G94+H94,IF($B94="Total",SUM(I$31:I93),""))</f>
        <v/>
      </c>
      <c r="J94" s="27" t="str" cm="1">
        <f t="array" ref="J94">IF(ISNUMBER($B94),ROUND(SUMPRODUCT($O$20:$O$25*($C$20:$C$25&lt;=$B94)*(($C$20:$C$25+$C$15-$B94)&gt;0)*($C$20:$C$25+$C$15-$B94)/$C$15*INDEX($S$20:$X$25,0,MAX(1,_xlfn.MAXIFS($L$20:$L$25,$C$20:$C$25,"&lt;="&amp;$B94,$Y$20:$Y$25,"&gt;0")))),2),"")</f>
        <v/>
      </c>
    </row>
    <row r="95" spans="2:10" x14ac:dyDescent="0.2">
      <c r="B95" s="25" t="str">
        <f>IF(ROWS($B$32:$B95)-1&lt;=($C$14+$C$15),ROWS($B$32:$B95)-1,IF(ROWS($B$32:$B95)-1=($C$14+$C$15)+1,"Total",""))</f>
        <v/>
      </c>
      <c r="C95" s="26" t="str">
        <f>IF(ISNUMBER($B95),EDATE($G$8,$B95),"")</f>
        <v/>
      </c>
      <c r="D95" s="27" t="str">
        <f>IF(ISNUMBER($B95),SUMIFS($Y$20:$Y$25,$C$20:$C$25,$B95,$B$20:$B$25,"&lt;&gt;Paydown"),IF($B95="Total",SUM(D$31:D94),""))</f>
        <v/>
      </c>
      <c r="E95" s="27" t="str">
        <f>IF(ISNUMBER($B95),D95*(1-$C$12),IF($B95="Total",SUM(E$31:E94),""))</f>
        <v/>
      </c>
      <c r="F95" s="28" t="str" cm="1">
        <f t="array" ref="F95">IF(ISNUMBER($B95),SUMPRODUCT($O$20:$O$25*($B95&gt;$C$20:$C$25)*($B95&lt;=$C$20:$C$25+$C$15)*INDEX($S$20:$X$25,0,MAX(1,_xlfn.MAXIFS($L$20:$L$25,$C$20:$C$25,"&lt;="&amp;($B95-1),$Y$20:$Y$25,"&gt;0"))))/$C$15,IF($B95="Total",SUM(F$31:F94),""))</f>
        <v/>
      </c>
      <c r="G95" s="28" t="str">
        <f>IF(ISNUMBER($B95),SUMIFS($Y$20:$Y$25,$C$20:$C$25,$B95,$B$20:$B$25,"Paydown"),IF($B95="Total",SUM(G$31:G94),""))</f>
        <v/>
      </c>
      <c r="H95" s="27" t="str" cm="1">
        <f t="array" ref="H95">IF(ISNUMBER($B95),IF(AND($B95&gt;=1,$B95&lt;=$C$14),$C$13*MAX(0,$C$8-MAX(0,SUMPRODUCT(($C$20:$C$25&lt;=$B95-1)*($C$20:$C$25+$C$15&gt;$B95-1)*$N$20:$N$25)-SUMIFS($Y$20:$Y$25,$B$20:$B$25,"Paydown",$C$20:$C$25,"&lt;="&amp;($B95-1))/(1+$C$11))),0),IF($B95="Total",SUM(H$31:H94),""))</f>
        <v/>
      </c>
      <c r="I95" s="28" t="str">
        <f>IF(ISNUMBER($B95),F95+G95+H95,IF($B95="Total",SUM(I$31:I94),""))</f>
        <v/>
      </c>
      <c r="J95" s="27" t="str" cm="1">
        <f t="array" ref="J95">IF(ISNUMBER($B95),ROUND(SUMPRODUCT($O$20:$O$25*($C$20:$C$25&lt;=$B95)*(($C$20:$C$25+$C$15-$B95)&gt;0)*($C$20:$C$25+$C$15-$B95)/$C$15*INDEX($S$20:$X$25,0,MAX(1,_xlfn.MAXIFS($L$20:$L$25,$C$20:$C$25,"&lt;="&amp;$B95,$Y$20:$Y$25,"&gt;0")))),2),"")</f>
        <v/>
      </c>
    </row>
    <row r="96" spans="2:10" x14ac:dyDescent="0.2">
      <c r="B96" s="25" t="str">
        <f>IF(ROWS($B$32:$B96)-1&lt;=($C$14+$C$15),ROWS($B$32:$B96)-1,IF(ROWS($B$32:$B96)-1=($C$14+$C$15)+1,"Total",""))</f>
        <v/>
      </c>
      <c r="C96" s="26" t="str">
        <f>IF(ISNUMBER($B96),EDATE($G$8,$B96),"")</f>
        <v/>
      </c>
      <c r="D96" s="27" t="str">
        <f>IF(ISNUMBER($B96),SUMIFS($Y$20:$Y$25,$C$20:$C$25,$B96,$B$20:$B$25,"&lt;&gt;Paydown"),IF($B96="Total",SUM(D$31:D95),""))</f>
        <v/>
      </c>
      <c r="E96" s="27" t="str">
        <f>IF(ISNUMBER($B96),D96*(1-$C$12),IF($B96="Total",SUM(E$31:E95),""))</f>
        <v/>
      </c>
      <c r="F96" s="28" t="str" cm="1">
        <f t="array" ref="F96">IF(ISNUMBER($B96),SUMPRODUCT($O$20:$O$25*($B96&gt;$C$20:$C$25)*($B96&lt;=$C$20:$C$25+$C$15)*INDEX($S$20:$X$25,0,MAX(1,_xlfn.MAXIFS($L$20:$L$25,$C$20:$C$25,"&lt;="&amp;($B96-1),$Y$20:$Y$25,"&gt;0"))))/$C$15,IF($B96="Total",SUM(F$31:F95),""))</f>
        <v/>
      </c>
      <c r="G96" s="28" t="str">
        <f>IF(ISNUMBER($B96),SUMIFS($Y$20:$Y$25,$C$20:$C$25,$B96,$B$20:$B$25,"Paydown"),IF($B96="Total",SUM(G$31:G95),""))</f>
        <v/>
      </c>
      <c r="H96" s="27" t="str" cm="1">
        <f t="array" ref="H96">IF(ISNUMBER($B96),IF(AND($B96&gt;=1,$B96&lt;=$C$14),$C$13*MAX(0,$C$8-MAX(0,SUMPRODUCT(($C$20:$C$25&lt;=$B96-1)*($C$20:$C$25+$C$15&gt;$B96-1)*$N$20:$N$25)-SUMIFS($Y$20:$Y$25,$B$20:$B$25,"Paydown",$C$20:$C$25,"&lt;="&amp;($B96-1))/(1+$C$11))),0),IF($B96="Total",SUM(H$31:H95),""))</f>
        <v/>
      </c>
      <c r="I96" s="28" t="str">
        <f>IF(ISNUMBER($B96),F96+G96+H96,IF($B96="Total",SUM(I$31:I95),""))</f>
        <v/>
      </c>
      <c r="J96" s="27" t="str" cm="1">
        <f t="array" ref="J96">IF(ISNUMBER($B96),ROUND(SUMPRODUCT($O$20:$O$25*($C$20:$C$25&lt;=$B96)*(($C$20:$C$25+$C$15-$B96)&gt;0)*($C$20:$C$25+$C$15-$B96)/$C$15*INDEX($S$20:$X$25,0,MAX(1,_xlfn.MAXIFS($L$20:$L$25,$C$20:$C$25,"&lt;="&amp;$B96,$Y$20:$Y$25,"&gt;0")))),2),"")</f>
        <v/>
      </c>
    </row>
    <row r="97" spans="2:10" x14ac:dyDescent="0.2">
      <c r="B97" s="25" t="str">
        <f>IF(ROWS($B$32:$B97)-1&lt;=($C$14+$C$15),ROWS($B$32:$B97)-1,IF(ROWS($B$32:$B97)-1=($C$14+$C$15)+1,"Total",""))</f>
        <v/>
      </c>
      <c r="C97" s="26" t="str">
        <f>IF(ISNUMBER($B97),EDATE($G$8,$B97),"")</f>
        <v/>
      </c>
      <c r="D97" s="27" t="str">
        <f>IF(ISNUMBER($B97),SUMIFS($Y$20:$Y$25,$C$20:$C$25,$B97,$B$20:$B$25,"&lt;&gt;Paydown"),IF($B97="Total",SUM(D$31:D96),""))</f>
        <v/>
      </c>
      <c r="E97" s="27" t="str">
        <f>IF(ISNUMBER($B97),D97*(1-$C$12),IF($B97="Total",SUM(E$31:E96),""))</f>
        <v/>
      </c>
      <c r="F97" s="28" t="str" cm="1">
        <f t="array" ref="F97">IF(ISNUMBER($B97),SUMPRODUCT($O$20:$O$25*($B97&gt;$C$20:$C$25)*($B97&lt;=$C$20:$C$25+$C$15)*INDEX($S$20:$X$25,0,MAX(1,_xlfn.MAXIFS($L$20:$L$25,$C$20:$C$25,"&lt;="&amp;($B97-1),$Y$20:$Y$25,"&gt;0"))))/$C$15,IF($B97="Total",SUM(F$31:F96),""))</f>
        <v/>
      </c>
      <c r="G97" s="28" t="str">
        <f>IF(ISNUMBER($B97),SUMIFS($Y$20:$Y$25,$C$20:$C$25,$B97,$B$20:$B$25,"Paydown"),IF($B97="Total",SUM(G$31:G96),""))</f>
        <v/>
      </c>
      <c r="H97" s="27" t="str" cm="1">
        <f t="array" ref="H97">IF(ISNUMBER($B97),IF(AND($B97&gt;=1,$B97&lt;=$C$14),$C$13*MAX(0,$C$8-MAX(0,SUMPRODUCT(($C$20:$C$25&lt;=$B97-1)*($C$20:$C$25+$C$15&gt;$B97-1)*$N$20:$N$25)-SUMIFS($Y$20:$Y$25,$B$20:$B$25,"Paydown",$C$20:$C$25,"&lt;="&amp;($B97-1))/(1+$C$11))),0),IF($B97="Total",SUM(H$31:H96),""))</f>
        <v/>
      </c>
      <c r="I97" s="28" t="str">
        <f>IF(ISNUMBER($B97),F97+G97+H97,IF($B97="Total",SUM(I$31:I96),""))</f>
        <v/>
      </c>
      <c r="J97" s="27" t="str" cm="1">
        <f t="array" ref="J97">IF(ISNUMBER($B97),ROUND(SUMPRODUCT($O$20:$O$25*($C$20:$C$25&lt;=$B97)*(($C$20:$C$25+$C$15-$B97)&gt;0)*($C$20:$C$25+$C$15-$B97)/$C$15*INDEX($S$20:$X$25,0,MAX(1,_xlfn.MAXIFS($L$20:$L$25,$C$20:$C$25,"&lt;="&amp;$B97,$Y$20:$Y$25,"&gt;0")))),2),"")</f>
        <v/>
      </c>
    </row>
    <row r="98" spans="2:10" x14ac:dyDescent="0.2">
      <c r="B98" s="25" t="str">
        <f>IF(ROWS($B$32:$B98)-1&lt;=($C$14+$C$15),ROWS($B$32:$B98)-1,IF(ROWS($B$32:$B98)-1=($C$14+$C$15)+1,"Total",""))</f>
        <v/>
      </c>
      <c r="C98" s="26" t="str">
        <f>IF(ISNUMBER($B98),EDATE($G$8,$B98),"")</f>
        <v/>
      </c>
      <c r="D98" s="27" t="str">
        <f>IF(ISNUMBER($B98),SUMIFS($Y$20:$Y$25,$C$20:$C$25,$B98,$B$20:$B$25,"&lt;&gt;Paydown"),IF($B98="Total",SUM(D$31:D97),""))</f>
        <v/>
      </c>
      <c r="E98" s="27" t="str">
        <f>IF(ISNUMBER($B98),D98*(1-$C$12),IF($B98="Total",SUM(E$31:E97),""))</f>
        <v/>
      </c>
      <c r="F98" s="28" t="str" cm="1">
        <f t="array" ref="F98">IF(ISNUMBER($B98),SUMPRODUCT($O$20:$O$25*($B98&gt;$C$20:$C$25)*($B98&lt;=$C$20:$C$25+$C$15)*INDEX($S$20:$X$25,0,MAX(1,_xlfn.MAXIFS($L$20:$L$25,$C$20:$C$25,"&lt;="&amp;($B98-1),$Y$20:$Y$25,"&gt;0"))))/$C$15,IF($B98="Total",SUM(F$31:F97),""))</f>
        <v/>
      </c>
      <c r="G98" s="28" t="str">
        <f>IF(ISNUMBER($B98),SUMIFS($Y$20:$Y$25,$C$20:$C$25,$B98,$B$20:$B$25,"Paydown"),IF($B98="Total",SUM(G$31:G97),""))</f>
        <v/>
      </c>
      <c r="H98" s="27" t="str" cm="1">
        <f t="array" ref="H98">IF(ISNUMBER($B98),IF(AND($B98&gt;=1,$B98&lt;=$C$14),$C$13*MAX(0,$C$8-MAX(0,SUMPRODUCT(($C$20:$C$25&lt;=$B98-1)*($C$20:$C$25+$C$15&gt;$B98-1)*$N$20:$N$25)-SUMIFS($Y$20:$Y$25,$B$20:$B$25,"Paydown",$C$20:$C$25,"&lt;="&amp;($B98-1))/(1+$C$11))),0),IF($B98="Total",SUM(H$31:H97),""))</f>
        <v/>
      </c>
      <c r="I98" s="28" t="str">
        <f>IF(ISNUMBER($B98),F98+G98+H98,IF($B98="Total",SUM(I$31:I97),""))</f>
        <v/>
      </c>
      <c r="J98" s="27" t="str" cm="1">
        <f t="array" ref="J98">IF(ISNUMBER($B98),ROUND(SUMPRODUCT($O$20:$O$25*($C$20:$C$25&lt;=$B98)*(($C$20:$C$25+$C$15-$B98)&gt;0)*($C$20:$C$25+$C$15-$B98)/$C$15*INDEX($S$20:$X$25,0,MAX(1,_xlfn.MAXIFS($L$20:$L$25,$C$20:$C$25,"&lt;="&amp;$B98,$Y$20:$Y$25,"&gt;0")))),2),"")</f>
        <v/>
      </c>
    </row>
    <row r="99" spans="2:10" x14ac:dyDescent="0.2">
      <c r="B99" s="25" t="str">
        <f>IF(ROWS($B$32:$B99)-1&lt;=($C$14+$C$15),ROWS($B$32:$B99)-1,IF(ROWS($B$32:$B99)-1=($C$14+$C$15)+1,"Total",""))</f>
        <v/>
      </c>
      <c r="C99" s="26" t="str">
        <f>IF(ISNUMBER($B99),EDATE($G$8,$B99),"")</f>
        <v/>
      </c>
      <c r="D99" s="27" t="str">
        <f>IF(ISNUMBER($B99),SUMIFS($Y$20:$Y$25,$C$20:$C$25,$B99,$B$20:$B$25,"&lt;&gt;Paydown"),IF($B99="Total",SUM(D$31:D98),""))</f>
        <v/>
      </c>
      <c r="E99" s="27" t="str">
        <f>IF(ISNUMBER($B99),D99*(1-$C$12),IF($B99="Total",SUM(E$31:E98),""))</f>
        <v/>
      </c>
      <c r="F99" s="28" t="str" cm="1">
        <f t="array" ref="F99">IF(ISNUMBER($B99),SUMPRODUCT($O$20:$O$25*($B99&gt;$C$20:$C$25)*($B99&lt;=$C$20:$C$25+$C$15)*INDEX($S$20:$X$25,0,MAX(1,_xlfn.MAXIFS($L$20:$L$25,$C$20:$C$25,"&lt;="&amp;($B99-1),$Y$20:$Y$25,"&gt;0"))))/$C$15,IF($B99="Total",SUM(F$31:F98),""))</f>
        <v/>
      </c>
      <c r="G99" s="28" t="str">
        <f>IF(ISNUMBER($B99),SUMIFS($Y$20:$Y$25,$C$20:$C$25,$B99,$B$20:$B$25,"Paydown"),IF($B99="Total",SUM(G$31:G98),""))</f>
        <v/>
      </c>
      <c r="H99" s="27" t="str" cm="1">
        <f t="array" ref="H99">IF(ISNUMBER($B99),IF(AND($B99&gt;=1,$B99&lt;=$C$14),$C$13*MAX(0,$C$8-MAX(0,SUMPRODUCT(($C$20:$C$25&lt;=$B99-1)*($C$20:$C$25+$C$15&gt;$B99-1)*$N$20:$N$25)-SUMIFS($Y$20:$Y$25,$B$20:$B$25,"Paydown",$C$20:$C$25,"&lt;="&amp;($B99-1))/(1+$C$11))),0),IF($B99="Total",SUM(H$31:H98),""))</f>
        <v/>
      </c>
      <c r="I99" s="28" t="str">
        <f>IF(ISNUMBER($B99),F99+G99+H99,IF($B99="Total",SUM(I$31:I98),""))</f>
        <v/>
      </c>
      <c r="J99" s="27" t="str" cm="1">
        <f t="array" ref="J99">IF(ISNUMBER($B99),ROUND(SUMPRODUCT($O$20:$O$25*($C$20:$C$25&lt;=$B99)*(($C$20:$C$25+$C$15-$B99)&gt;0)*($C$20:$C$25+$C$15-$B99)/$C$15*INDEX($S$20:$X$25,0,MAX(1,_xlfn.MAXIFS($L$20:$L$25,$C$20:$C$25,"&lt;="&amp;$B99,$Y$20:$Y$25,"&gt;0")))),2),"")</f>
        <v/>
      </c>
    </row>
    <row r="100" spans="2:10" x14ac:dyDescent="0.2">
      <c r="B100" s="25" t="str">
        <f>IF(ROWS($B$32:$B100)-1&lt;=($C$14+$C$15),ROWS($B$32:$B100)-1,IF(ROWS($B$32:$B100)-1=($C$14+$C$15)+1,"Total",""))</f>
        <v/>
      </c>
      <c r="C100" s="26" t="str">
        <f>IF(ISNUMBER($B100),EDATE($G$8,$B100),"")</f>
        <v/>
      </c>
      <c r="D100" s="27" t="str">
        <f>IF(ISNUMBER($B100),SUMIFS($Y$20:$Y$25,$C$20:$C$25,$B100,$B$20:$B$25,"&lt;&gt;Paydown"),IF($B100="Total",SUM(D$31:D99),""))</f>
        <v/>
      </c>
      <c r="E100" s="27" t="str">
        <f>IF(ISNUMBER($B100),D100*(1-$C$12),IF($B100="Total",SUM(E$31:E99),""))</f>
        <v/>
      </c>
      <c r="F100" s="28" t="str" cm="1">
        <f t="array" ref="F100">IF(ISNUMBER($B100),SUMPRODUCT($O$20:$O$25*($B100&gt;$C$20:$C$25)*($B100&lt;=$C$20:$C$25+$C$15)*INDEX($S$20:$X$25,0,MAX(1,_xlfn.MAXIFS($L$20:$L$25,$C$20:$C$25,"&lt;="&amp;($B100-1),$Y$20:$Y$25,"&gt;0"))))/$C$15,IF($B100="Total",SUM(F$31:F99),""))</f>
        <v/>
      </c>
      <c r="G100" s="28" t="str">
        <f>IF(ISNUMBER($B100),SUMIFS($Y$20:$Y$25,$C$20:$C$25,$B100,$B$20:$B$25,"Paydown"),IF($B100="Total",SUM(G$31:G99),""))</f>
        <v/>
      </c>
      <c r="H100" s="27" t="str" cm="1">
        <f t="array" ref="H100">IF(ISNUMBER($B100),IF(AND($B100&gt;=1,$B100&lt;=$C$14),$C$13*MAX(0,$C$8-MAX(0,SUMPRODUCT(($C$20:$C$25&lt;=$B100-1)*($C$20:$C$25+$C$15&gt;$B100-1)*$N$20:$N$25)-SUMIFS($Y$20:$Y$25,$B$20:$B$25,"Paydown",$C$20:$C$25,"&lt;="&amp;($B100-1))/(1+$C$11))),0),IF($B100="Total",SUM(H$31:H99),""))</f>
        <v/>
      </c>
      <c r="I100" s="28" t="str">
        <f>IF(ISNUMBER($B100),F100+G100+H100,IF($B100="Total",SUM(I$31:I99),""))</f>
        <v/>
      </c>
      <c r="J100" s="27" t="str" cm="1">
        <f t="array" ref="J100">IF(ISNUMBER($B100),ROUND(SUMPRODUCT($O$20:$O$25*($C$20:$C$25&lt;=$B100)*(($C$20:$C$25+$C$15-$B100)&gt;0)*($C$20:$C$25+$C$15-$B100)/$C$15*INDEX($S$20:$X$25,0,MAX(1,_xlfn.MAXIFS($L$20:$L$25,$C$20:$C$25,"&lt;="&amp;$B100,$Y$20:$Y$25,"&gt;0")))),2),"")</f>
        <v/>
      </c>
    </row>
    <row r="101" spans="2:10" x14ac:dyDescent="0.2">
      <c r="B101" s="25" t="str">
        <f>IF(ROWS($B$32:$B101)-1&lt;=($C$14+$C$15),ROWS($B$32:$B101)-1,IF(ROWS($B$32:$B101)-1=($C$14+$C$15)+1,"Total",""))</f>
        <v/>
      </c>
      <c r="C101" s="26" t="str">
        <f>IF(ISNUMBER($B101),EDATE($G$8,$B101),"")</f>
        <v/>
      </c>
      <c r="D101" s="27" t="str">
        <f>IF(ISNUMBER($B101),SUMIFS($Y$20:$Y$25,$C$20:$C$25,$B101,$B$20:$B$25,"&lt;&gt;Paydown"),IF($B101="Total",SUM(D$31:D100),""))</f>
        <v/>
      </c>
      <c r="E101" s="27" t="str">
        <f>IF(ISNUMBER($B101),D101*(1-$C$12),IF($B101="Total",SUM(E$31:E100),""))</f>
        <v/>
      </c>
      <c r="F101" s="28" t="str" cm="1">
        <f t="array" ref="F101">IF(ISNUMBER($B101),SUMPRODUCT($O$20:$O$25*($B101&gt;$C$20:$C$25)*($B101&lt;=$C$20:$C$25+$C$15)*INDEX($S$20:$X$25,0,MAX(1,_xlfn.MAXIFS($L$20:$L$25,$C$20:$C$25,"&lt;="&amp;($B101-1),$Y$20:$Y$25,"&gt;0"))))/$C$15,IF($B101="Total",SUM(F$31:F100),""))</f>
        <v/>
      </c>
      <c r="G101" s="28" t="str">
        <f>IF(ISNUMBER($B101),SUMIFS($Y$20:$Y$25,$C$20:$C$25,$B101,$B$20:$B$25,"Paydown"),IF($B101="Total",SUM(G$31:G100),""))</f>
        <v/>
      </c>
      <c r="H101" s="27" t="str" cm="1">
        <f t="array" ref="H101">IF(ISNUMBER($B101),IF(AND($B101&gt;=1,$B101&lt;=$C$14),$C$13*MAX(0,$C$8-MAX(0,SUMPRODUCT(($C$20:$C$25&lt;=$B101-1)*($C$20:$C$25+$C$15&gt;$B101-1)*$N$20:$N$25)-SUMIFS($Y$20:$Y$25,$B$20:$B$25,"Paydown",$C$20:$C$25,"&lt;="&amp;($B101-1))/(1+$C$11))),0),IF($B101="Total",SUM(H$31:H100),""))</f>
        <v/>
      </c>
      <c r="I101" s="28" t="str">
        <f>IF(ISNUMBER($B101),F101+G101+H101,IF($B101="Total",SUM(I$31:I100),""))</f>
        <v/>
      </c>
      <c r="J101" s="27" t="str" cm="1">
        <f t="array" ref="J101">IF(ISNUMBER($B101),ROUND(SUMPRODUCT($O$20:$O$25*($C$20:$C$25&lt;=$B101)*(($C$20:$C$25+$C$15-$B101)&gt;0)*($C$20:$C$25+$C$15-$B101)/$C$15*INDEX($S$20:$X$25,0,MAX(1,_xlfn.MAXIFS($L$20:$L$25,$C$20:$C$25,"&lt;="&amp;$B101,$Y$20:$Y$25,"&gt;0")))),2),"")</f>
        <v/>
      </c>
    </row>
    <row r="102" spans="2:10" x14ac:dyDescent="0.2">
      <c r="B102" s="25" t="str">
        <f>IF(ROWS($B$32:$B102)-1&lt;=($C$14+$C$15),ROWS($B$32:$B102)-1,IF(ROWS($B$32:$B102)-1=($C$14+$C$15)+1,"Total",""))</f>
        <v/>
      </c>
      <c r="C102" s="26" t="str">
        <f>IF(ISNUMBER($B102),EDATE($G$8,$B102),"")</f>
        <v/>
      </c>
      <c r="D102" s="27" t="str">
        <f>IF(ISNUMBER($B102),SUMIFS($Y$20:$Y$25,$C$20:$C$25,$B102,$B$20:$B$25,"&lt;&gt;Paydown"),IF($B102="Total",SUM(D$31:D101),""))</f>
        <v/>
      </c>
      <c r="E102" s="27" t="str">
        <f>IF(ISNUMBER($B102),D102*(1-$C$12),IF($B102="Total",SUM(E$31:E101),""))</f>
        <v/>
      </c>
      <c r="F102" s="28" t="str" cm="1">
        <f t="array" ref="F102">IF(ISNUMBER($B102),SUMPRODUCT($O$20:$O$25*($B102&gt;$C$20:$C$25)*($B102&lt;=$C$20:$C$25+$C$15)*INDEX($S$20:$X$25,0,MAX(1,_xlfn.MAXIFS($L$20:$L$25,$C$20:$C$25,"&lt;="&amp;($B102-1),$Y$20:$Y$25,"&gt;0"))))/$C$15,IF($B102="Total",SUM(F$31:F101),""))</f>
        <v/>
      </c>
      <c r="G102" s="28" t="str">
        <f>IF(ISNUMBER($B102),SUMIFS($Y$20:$Y$25,$C$20:$C$25,$B102,$B$20:$B$25,"Paydown"),IF($B102="Total",SUM(G$31:G101),""))</f>
        <v/>
      </c>
      <c r="H102" s="27" t="str" cm="1">
        <f t="array" ref="H102">IF(ISNUMBER($B102),IF(AND($B102&gt;=1,$B102&lt;=$C$14),$C$13*MAX(0,$C$8-MAX(0,SUMPRODUCT(($C$20:$C$25&lt;=$B102-1)*($C$20:$C$25+$C$15&gt;$B102-1)*$N$20:$N$25)-SUMIFS($Y$20:$Y$25,$B$20:$B$25,"Paydown",$C$20:$C$25,"&lt;="&amp;($B102-1))/(1+$C$11))),0),IF($B102="Total",SUM(H$31:H101),""))</f>
        <v/>
      </c>
      <c r="I102" s="28" t="str">
        <f>IF(ISNUMBER($B102),F102+G102+H102,IF($B102="Total",SUM(I$31:I101),""))</f>
        <v/>
      </c>
      <c r="J102" s="27" t="str" cm="1">
        <f t="array" ref="J102">IF(ISNUMBER($B102),ROUND(SUMPRODUCT($O$20:$O$25*($C$20:$C$25&lt;=$B102)*(($C$20:$C$25+$C$15-$B102)&gt;0)*($C$20:$C$25+$C$15-$B102)/$C$15*INDEX($S$20:$X$25,0,MAX(1,_xlfn.MAXIFS($L$20:$L$25,$C$20:$C$25,"&lt;="&amp;$B102,$Y$20:$Y$25,"&gt;0")))),2),"")</f>
        <v/>
      </c>
    </row>
    <row r="103" spans="2:10" x14ac:dyDescent="0.2">
      <c r="B103" s="25" t="str">
        <f>IF(ROWS($B$32:$B103)-1&lt;=($C$14+$C$15),ROWS($B$32:$B103)-1,IF(ROWS($B$32:$B103)-1=($C$14+$C$15)+1,"Total",""))</f>
        <v/>
      </c>
      <c r="C103" s="26" t="str">
        <f>IF(ISNUMBER($B103),EDATE($G$8,$B103),"")</f>
        <v/>
      </c>
      <c r="D103" s="27" t="str">
        <f>IF(ISNUMBER($B103),SUMIFS($Y$20:$Y$25,$C$20:$C$25,$B103,$B$20:$B$25,"&lt;&gt;Paydown"),IF($B103="Total",SUM(D$31:D102),""))</f>
        <v/>
      </c>
      <c r="E103" s="27" t="str">
        <f>IF(ISNUMBER($B103),D103*(1-$C$12),IF($B103="Total",SUM(E$31:E102),""))</f>
        <v/>
      </c>
      <c r="F103" s="28" t="str" cm="1">
        <f t="array" ref="F103">IF(ISNUMBER($B103),SUMPRODUCT($O$20:$O$25*($B103&gt;$C$20:$C$25)*($B103&lt;=$C$20:$C$25+$C$15)*INDEX($S$20:$X$25,0,MAX(1,_xlfn.MAXIFS($L$20:$L$25,$C$20:$C$25,"&lt;="&amp;($B103-1),$Y$20:$Y$25,"&gt;0"))))/$C$15,IF($B103="Total",SUM(F$31:F102),""))</f>
        <v/>
      </c>
      <c r="G103" s="28" t="str">
        <f>IF(ISNUMBER($B103),SUMIFS($Y$20:$Y$25,$C$20:$C$25,$B103,$B$20:$B$25,"Paydown"),IF($B103="Total",SUM(G$31:G102),""))</f>
        <v/>
      </c>
      <c r="H103" s="27" t="str" cm="1">
        <f t="array" ref="H103">IF(ISNUMBER($B103),IF(AND($B103&gt;=1,$B103&lt;=$C$14),$C$13*MAX(0,$C$8-MAX(0,SUMPRODUCT(($C$20:$C$25&lt;=$B103-1)*($C$20:$C$25+$C$15&gt;$B103-1)*$N$20:$N$25)-SUMIFS($Y$20:$Y$25,$B$20:$B$25,"Paydown",$C$20:$C$25,"&lt;="&amp;($B103-1))/(1+$C$11))),0),IF($B103="Total",SUM(H$31:H102),""))</f>
        <v/>
      </c>
      <c r="I103" s="28" t="str">
        <f>IF(ISNUMBER($B103),F103+G103+H103,IF($B103="Total",SUM(I$31:I102),""))</f>
        <v/>
      </c>
      <c r="J103" s="27" t="str" cm="1">
        <f t="array" ref="J103">IF(ISNUMBER($B103),ROUND(SUMPRODUCT($O$20:$O$25*($C$20:$C$25&lt;=$B103)*(($C$20:$C$25+$C$15-$B103)&gt;0)*($C$20:$C$25+$C$15-$B103)/$C$15*INDEX($S$20:$X$25,0,MAX(1,_xlfn.MAXIFS($L$20:$L$25,$C$20:$C$25,"&lt;="&amp;$B103,$Y$20:$Y$25,"&gt;0")))),2),"")</f>
        <v/>
      </c>
    </row>
    <row r="104" spans="2:10" x14ac:dyDescent="0.2">
      <c r="B104" s="25" t="str">
        <f>IF(ROWS($B$32:$B104)-1&lt;=($C$14+$C$15),ROWS($B$32:$B104)-1,IF(ROWS($B$32:$B104)-1=($C$14+$C$15)+1,"Total",""))</f>
        <v/>
      </c>
      <c r="C104" s="26" t="str">
        <f>IF(ISNUMBER($B104),EDATE($G$8,$B104),"")</f>
        <v/>
      </c>
      <c r="D104" s="27" t="str">
        <f>IF(ISNUMBER($B104),SUMIFS($Y$20:$Y$25,$C$20:$C$25,$B104,$B$20:$B$25,"&lt;&gt;Paydown"),IF($B104="Total",SUM(D$31:D103),""))</f>
        <v/>
      </c>
      <c r="E104" s="27" t="str">
        <f>IF(ISNUMBER($B104),D104*(1-$C$12),IF($B104="Total",SUM(E$31:E103),""))</f>
        <v/>
      </c>
      <c r="F104" s="28" t="str" cm="1">
        <f t="array" ref="F104">IF(ISNUMBER($B104),SUMPRODUCT($O$20:$O$25*($B104&gt;$C$20:$C$25)*($B104&lt;=$C$20:$C$25+$C$15)*INDEX($S$20:$X$25,0,MAX(1,_xlfn.MAXIFS($L$20:$L$25,$C$20:$C$25,"&lt;="&amp;($B104-1),$Y$20:$Y$25,"&gt;0"))))/$C$15,IF($B104="Total",SUM(F$31:F103),""))</f>
        <v/>
      </c>
      <c r="G104" s="28" t="str">
        <f>IF(ISNUMBER($B104),SUMIFS($Y$20:$Y$25,$C$20:$C$25,$B104,$B$20:$B$25,"Paydown"),IF($B104="Total",SUM(G$31:G103),""))</f>
        <v/>
      </c>
      <c r="H104" s="27" t="str" cm="1">
        <f t="array" ref="H104">IF(ISNUMBER($B104),IF(AND($B104&gt;=1,$B104&lt;=$C$14),$C$13*MAX(0,$C$8-MAX(0,SUMPRODUCT(($C$20:$C$25&lt;=$B104-1)*($C$20:$C$25+$C$15&gt;$B104-1)*$N$20:$N$25)-SUMIFS($Y$20:$Y$25,$B$20:$B$25,"Paydown",$C$20:$C$25,"&lt;="&amp;($B104-1))/(1+$C$11))),0),IF($B104="Total",SUM(H$31:H103),""))</f>
        <v/>
      </c>
      <c r="I104" s="28" t="str">
        <f>IF(ISNUMBER($B104),F104+G104+H104,IF($B104="Total",SUM(I$31:I103),""))</f>
        <v/>
      </c>
      <c r="J104" s="27" t="str" cm="1">
        <f t="array" ref="J104">IF(ISNUMBER($B104),ROUND(SUMPRODUCT($O$20:$O$25*($C$20:$C$25&lt;=$B104)*(($C$20:$C$25+$C$15-$B104)&gt;0)*($C$20:$C$25+$C$15-$B104)/$C$15*INDEX($S$20:$X$25,0,MAX(1,_xlfn.MAXIFS($L$20:$L$25,$C$20:$C$25,"&lt;="&amp;$B104,$Y$20:$Y$25,"&gt;0")))),2),"")</f>
        <v/>
      </c>
    </row>
    <row r="105" spans="2:10" x14ac:dyDescent="0.2">
      <c r="B105" s="25" t="str">
        <f>IF(ROWS($B$32:$B105)-1&lt;=($C$14+$C$15),ROWS($B$32:$B105)-1,IF(ROWS($B$32:$B105)-1=($C$14+$C$15)+1,"Total",""))</f>
        <v/>
      </c>
      <c r="C105" s="26" t="str">
        <f>IF(ISNUMBER($B105),EDATE($G$8,$B105),"")</f>
        <v/>
      </c>
      <c r="D105" s="27" t="str">
        <f>IF(ISNUMBER($B105),SUMIFS($Y$20:$Y$25,$C$20:$C$25,$B105,$B$20:$B$25,"&lt;&gt;Paydown"),IF($B105="Total",SUM(D$31:D104),""))</f>
        <v/>
      </c>
      <c r="E105" s="27" t="str">
        <f>IF(ISNUMBER($B105),D105*(1-$C$12),IF($B105="Total",SUM(E$31:E104),""))</f>
        <v/>
      </c>
      <c r="F105" s="28" t="str" cm="1">
        <f t="array" ref="F105">IF(ISNUMBER($B105),SUMPRODUCT($O$20:$O$25*($B105&gt;$C$20:$C$25)*($B105&lt;=$C$20:$C$25+$C$15)*INDEX($S$20:$X$25,0,MAX(1,_xlfn.MAXIFS($L$20:$L$25,$C$20:$C$25,"&lt;="&amp;($B105-1),$Y$20:$Y$25,"&gt;0"))))/$C$15,IF($B105="Total",SUM(F$31:F104),""))</f>
        <v/>
      </c>
      <c r="G105" s="28" t="str">
        <f>IF(ISNUMBER($B105),SUMIFS($Y$20:$Y$25,$C$20:$C$25,$B105,$B$20:$B$25,"Paydown"),IF($B105="Total",SUM(G$31:G104),""))</f>
        <v/>
      </c>
      <c r="H105" s="27" t="str" cm="1">
        <f t="array" ref="H105">IF(ISNUMBER($B105),IF(AND($B105&gt;=1,$B105&lt;=$C$14),$C$13*MAX(0,$C$8-MAX(0,SUMPRODUCT(($C$20:$C$25&lt;=$B105-1)*($C$20:$C$25+$C$15&gt;$B105-1)*$N$20:$N$25)-SUMIFS($Y$20:$Y$25,$B$20:$B$25,"Paydown",$C$20:$C$25,"&lt;="&amp;($B105-1))/(1+$C$11))),0),IF($B105="Total",SUM(H$31:H104),""))</f>
        <v/>
      </c>
      <c r="I105" s="28" t="str">
        <f>IF(ISNUMBER($B105),F105+G105+H105,IF($B105="Total",SUM(I$31:I104),""))</f>
        <v/>
      </c>
      <c r="J105" s="27" t="str" cm="1">
        <f t="array" ref="J105">IF(ISNUMBER($B105),ROUND(SUMPRODUCT($O$20:$O$25*($C$20:$C$25&lt;=$B105)*(($C$20:$C$25+$C$15-$B105)&gt;0)*($C$20:$C$25+$C$15-$B105)/$C$15*INDEX($S$20:$X$25,0,MAX(1,_xlfn.MAXIFS($L$20:$L$25,$C$20:$C$25,"&lt;="&amp;$B105,$Y$20:$Y$25,"&gt;0")))),2),"")</f>
        <v/>
      </c>
    </row>
    <row r="107" spans="2:10" x14ac:dyDescent="0.2">
      <c r="B107" s="24" t="str">
        <f>IF($C$14+$C$15&gt;72,"⚠ Draw period + repayment term exceeds the 72-month schedule capacity; later payments are not displayed.","")</f>
        <v/>
      </c>
    </row>
    <row r="108" spans="2:10" x14ac:dyDescent="0.2">
      <c r="B108" s="4" t="s">
        <v>22</v>
      </c>
    </row>
    <row r="109" spans="2:10" x14ac:dyDescent="0.2">
      <c r="B109" s="4" t="str">
        <f>"The unused line fee applies only during the draw period, on the portion of the "&amp;TEXT($C$8,"$#,##0")&amp;" not yet drawn. It shrinks as you draw and ends after Month "&amp;$C$14&amp;"."</f>
        <v>The unused line fee applies only during the draw period, on the portion of the $1,000,000 not yet drawn. It shrinks as you draw and ends after Month 12.</v>
      </c>
    </row>
    <row r="110" spans="2:10" x14ac:dyDescent="0.2">
      <c r="B110" s="4" t="s">
        <v>45</v>
      </c>
    </row>
    <row r="111" spans="2:10" x14ac:dyDescent="0.2">
      <c r="B111" s="41" t="s">
        <v>72</v>
      </c>
    </row>
  </sheetData>
  <sheetProtection formatColumns="0" formatRows="0"/>
  <conditionalFormatting sqref="H20:H27">
    <cfRule type="expression" dxfId="4" priority="2">
      <formula>AND(H20&lt;&gt;"OK",H20&lt;&gt;"")</formula>
    </cfRule>
    <cfRule type="expression" dxfId="3" priority="3">
      <formula>H20="OK"</formula>
    </cfRule>
  </conditionalFormatting>
  <conditionalFormatting sqref="B32:J105">
    <cfRule type="expression" dxfId="2" priority="4">
      <formula>ISNUMBER($B32)</formula>
    </cfRule>
  </conditionalFormatting>
  <conditionalFormatting sqref="B32:J105">
    <cfRule type="expression" dxfId="1" priority="5">
      <formula>$B32="Total"</formula>
    </cfRule>
  </conditionalFormatting>
  <conditionalFormatting sqref="B32:J105">
    <cfRule type="expression" dxfId="0" priority="6">
      <formula>AND(ISNUMBER($B32),$B32&gt;$C$14)</formula>
    </cfRule>
  </conditionalFormatting>
  <dataValidations count="4">
    <dataValidation type="decimal" operator="greaterThanOrEqual" allowBlank="1" showInputMessage="1" showErrorMessage="1" errorTitle="Invalid input" error="Enter a value of 0 or more." sqref="C8:C13" xr:uid="{3DE920AA-7D2C-3644-A437-55458FA79E2A}">
      <formula1>0</formula1>
    </dataValidation>
    <dataValidation type="whole" operator="greaterThanOrEqual" allowBlank="1" showInputMessage="1" showErrorMessage="1" errorTitle="Invalid input" error="Enter a whole number of 1 or more." sqref="C14:C15" xr:uid="{6994EC3C-B494-E944-9A18-B52BD7BC05C3}">
      <formula1>1</formula1>
    </dataValidation>
    <dataValidation type="decimal" operator="greaterThanOrEqual" allowBlank="1" showInputMessage="1" showErrorMessage="1" errorTitle="Enter a positive amount" error="Amounts are always positive. To model a paydown, change Type (column B) to Paydown." sqref="E20" xr:uid="{82F6110B-D995-5843-B2C7-1AB7453D48AB}">
      <formula1>0</formula1>
    </dataValidation>
    <dataValidation allowBlank="1" showInputMessage="1" showErrorMessage="1" promptTitle="Draw or paydown" prompt="Enter a positive amount for a draw, or a negative amount for a paydown. Type in column B updates automatically." sqref="E21:E25" xr:uid="{2F98A613-91C7-C74D-BBF5-91955C7D1F5E}"/>
  </dataValidations>
  <hyperlinks>
    <hyperlink ref="B111" location="'Disclaimer'!A1" tooltip="Open Disclaimer" display="Illustrative only. Not an offer or commitment to lend. See the Disclaimer tab." xr:uid="{92D31468-5161-8F44-B203-1B4CCAF3909D}"/>
  </hyperlinks>
  <pageMargins left="0.75" right="0.75" top="1" bottom="1" header="0.511811023622047" footer="0.511811023622047"/>
  <pageSetup fitToHeight="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14ADC-BD92-7447-9E8C-94406B3149AC}">
  <sheetPr>
    <pageSetUpPr fitToPage="1"/>
  </sheetPr>
  <dimension ref="A2:Z26"/>
  <sheetViews>
    <sheetView showGridLines="0" workbookViewId="0">
      <selection activeCell="D10" sqref="D10"/>
    </sheetView>
  </sheetViews>
  <sheetFormatPr baseColWidth="10" defaultRowHeight="15" x14ac:dyDescent="0.2"/>
  <cols>
    <col min="1" max="1" width="2.5" style="9" customWidth="1"/>
    <col min="2" max="2" width="6.6640625" style="9" customWidth="1"/>
    <col min="3" max="3" width="93.33203125" style="9" customWidth="1"/>
    <col min="4" max="26" width="10.83203125" style="9"/>
  </cols>
  <sheetData>
    <row r="2" spans="2:3" ht="30" customHeight="1" x14ac:dyDescent="0.2"/>
    <row r="3" spans="2:3" ht="25" x14ac:dyDescent="0.25">
      <c r="B3" s="2" t="s">
        <v>50</v>
      </c>
    </row>
    <row r="4" spans="2:3" x14ac:dyDescent="0.2">
      <c r="B4" s="4" t="s">
        <v>51</v>
      </c>
    </row>
    <row r="6" spans="2:3" ht="16" thickBot="1" x14ac:dyDescent="0.25">
      <c r="B6" s="5" t="s">
        <v>52</v>
      </c>
      <c r="C6" s="5"/>
    </row>
    <row r="7" spans="2:3" ht="20" customHeight="1" x14ac:dyDescent="0.2">
      <c r="B7" s="38">
        <v>1</v>
      </c>
      <c r="C7" s="39" t="s">
        <v>53</v>
      </c>
    </row>
    <row r="8" spans="2:3" ht="42" x14ac:dyDescent="0.2">
      <c r="B8" s="8"/>
      <c r="C8" s="37" t="s">
        <v>54</v>
      </c>
    </row>
    <row r="9" spans="2:3" x14ac:dyDescent="0.2">
      <c r="B9" s="38">
        <v>2</v>
      </c>
      <c r="C9" s="39" t="s">
        <v>55</v>
      </c>
    </row>
    <row r="10" spans="2:3" ht="42" x14ac:dyDescent="0.2">
      <c r="B10" s="8"/>
      <c r="C10" s="37" t="s">
        <v>56</v>
      </c>
    </row>
    <row r="11" spans="2:3" x14ac:dyDescent="0.2">
      <c r="B11" s="38">
        <v>3</v>
      </c>
      <c r="C11" s="39" t="s">
        <v>57</v>
      </c>
    </row>
    <row r="12" spans="2:3" ht="28" x14ac:dyDescent="0.2">
      <c r="B12" s="8"/>
      <c r="C12" s="37" t="s">
        <v>58</v>
      </c>
    </row>
    <row r="13" spans="2:3" x14ac:dyDescent="0.2">
      <c r="B13" s="38">
        <v>4</v>
      </c>
      <c r="C13" s="39" t="s">
        <v>59</v>
      </c>
    </row>
    <row r="14" spans="2:3" ht="28" x14ac:dyDescent="0.2">
      <c r="B14" s="8"/>
      <c r="C14" s="37" t="s">
        <v>60</v>
      </c>
    </row>
    <row r="15" spans="2:3" x14ac:dyDescent="0.2">
      <c r="B15" s="38">
        <v>5</v>
      </c>
      <c r="C15" s="39" t="s">
        <v>61</v>
      </c>
    </row>
    <row r="16" spans="2:3" ht="42" x14ac:dyDescent="0.2">
      <c r="B16" s="8"/>
      <c r="C16" s="37" t="s">
        <v>62</v>
      </c>
    </row>
    <row r="17" spans="2:3" x14ac:dyDescent="0.2">
      <c r="B17" s="38">
        <v>6</v>
      </c>
      <c r="C17" s="39" t="s">
        <v>63</v>
      </c>
    </row>
    <row r="18" spans="2:3" ht="28" x14ac:dyDescent="0.2">
      <c r="B18" s="8"/>
      <c r="C18" s="37" t="s">
        <v>64</v>
      </c>
    </row>
    <row r="19" spans="2:3" x14ac:dyDescent="0.2">
      <c r="B19" s="38">
        <v>7</v>
      </c>
      <c r="C19" s="39" t="s">
        <v>65</v>
      </c>
    </row>
    <row r="20" spans="2:3" ht="28" x14ac:dyDescent="0.2">
      <c r="B20" s="8"/>
      <c r="C20" s="37" t="s">
        <v>66</v>
      </c>
    </row>
    <row r="21" spans="2:3" x14ac:dyDescent="0.2">
      <c r="B21" s="38">
        <v>8</v>
      </c>
      <c r="C21" s="39" t="s">
        <v>67</v>
      </c>
    </row>
    <row r="22" spans="2:3" ht="28" x14ac:dyDescent="0.2">
      <c r="B22" s="8"/>
      <c r="C22" s="37" t="s">
        <v>68</v>
      </c>
    </row>
    <row r="23" spans="2:3" x14ac:dyDescent="0.2">
      <c r="B23" s="38">
        <v>9</v>
      </c>
      <c r="C23" s="39" t="s">
        <v>69</v>
      </c>
    </row>
    <row r="24" spans="2:3" ht="28" x14ac:dyDescent="0.2">
      <c r="B24" s="8"/>
      <c r="C24" s="37" t="s">
        <v>70</v>
      </c>
    </row>
    <row r="26" spans="2:3" x14ac:dyDescent="0.2">
      <c r="B26" s="40" t="s">
        <v>71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Founderpath Line of Credit</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Nathan Latka</cp:lastModifiedBy>
  <cp:revision>0</cp:revision>
  <dcterms:created xsi:type="dcterms:W3CDTF">2026-09-24T14:56:58Z</dcterms:created>
  <dcterms:modified xsi:type="dcterms:W3CDTF">2026-09-27T20:45:04Z</dcterms:modified>
  <dc:language>en-US</dc:language>
</cp:coreProperties>
</file>